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0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untitled/Box Sync/КП ЗЕЛЕНЫЙ МЫС/ОС/ОС 2024/Материалы к ОС/На сайт/"/>
    </mc:Choice>
  </mc:AlternateContent>
  <xr:revisionPtr revIDLastSave="0" documentId="13_ncr:1_{AFA3A4B1-D461-6B4E-974A-F0DF30798F76}" xr6:coauthVersionLast="47" xr6:coauthVersionMax="47" xr10:uidLastSave="{00000000-0000-0000-0000-000000000000}"/>
  <workbookProtection workbookAlgorithmName="SHA-512" workbookHashValue="NW4aappZ2Vy4umSbLMIu3btsEB/zWftw0/IdpPIv3NbRo3VmWZ+k+5p25xoTogb6qaEiHlgFkNLBBNtwtgwnxQ==" workbookSaltValue="WY4Ul5Y7TQsmqPI0v2K+xQ==" workbookSpinCount="100000" lockStructure="1"/>
  <bookViews>
    <workbookView xWindow="160" yWindow="740" windowWidth="29040" windowHeight="15840" tabRatio="749" xr2:uid="{00000000-000D-0000-FFFF-FFFF00000000}"/>
  </bookViews>
  <sheets>
    <sheet name="Бюджет" sheetId="1" r:id="rId1"/>
    <sheet name="Исполнение бюджета" sheetId="141" state="hidden" r:id="rId2"/>
    <sheet name="1-000" sheetId="21" r:id="rId3"/>
    <sheet name="1-001" sheetId="22" r:id="rId4"/>
    <sheet name="1-002" sheetId="23" r:id="rId5"/>
    <sheet name="1-0020" sheetId="24" state="hidden" r:id="rId6"/>
    <sheet name="1-0021" sheetId="78" r:id="rId7"/>
    <sheet name="1-003" sheetId="25" r:id="rId8"/>
    <sheet name="1-005" sheetId="29" r:id="rId9"/>
    <sheet name="1-004" sheetId="26" r:id="rId10"/>
    <sheet name="1-006" sheetId="28" r:id="rId11"/>
    <sheet name="1-007" sheetId="30" state="hidden" r:id="rId12"/>
    <sheet name="1-008" sheetId="31" state="hidden" r:id="rId13"/>
    <sheet name="2-001" sheetId="33" state="hidden" r:id="rId14"/>
    <sheet name="2-0011" sheetId="79" r:id="rId15"/>
    <sheet name="2-0012" sheetId="80" state="hidden" r:id="rId16"/>
    <sheet name="2-0013" sheetId="81" r:id="rId17"/>
    <sheet name="2-0014" sheetId="82" r:id="rId18"/>
    <sheet name="2-0015" sheetId="83" r:id="rId19"/>
    <sheet name="2-0016" sheetId="84" r:id="rId20"/>
    <sheet name="2-0017" sheetId="85" r:id="rId21"/>
    <sheet name="2-0018" sheetId="86" r:id="rId22"/>
    <sheet name="2-0019" sheetId="87" r:id="rId23"/>
    <sheet name="2-0020" sheetId="88" state="hidden" r:id="rId24"/>
    <sheet name="2-0021" sheetId="89" r:id="rId25"/>
    <sheet name="2-0022" sheetId="90" r:id="rId26"/>
    <sheet name="2-0023" sheetId="91" state="hidden" r:id="rId27"/>
    <sheet name="2-0024" sheetId="92" r:id="rId28"/>
    <sheet name="2-0025" sheetId="93" r:id="rId29"/>
    <sheet name="2-0026" sheetId="94" state="hidden" r:id="rId30"/>
    <sheet name="2-0027" sheetId="95" r:id="rId31"/>
    <sheet name="2-0028" sheetId="96" state="hidden" r:id="rId32"/>
    <sheet name="2-0029" sheetId="97" state="hidden" r:id="rId33"/>
    <sheet name="2-0030" sheetId="98" r:id="rId34"/>
    <sheet name="2-0031" sheetId="99" r:id="rId35"/>
    <sheet name="2-0032" sheetId="100" r:id="rId36"/>
    <sheet name="2-0033" sheetId="101" r:id="rId37"/>
    <sheet name="2-0034" sheetId="102" state="hidden" r:id="rId38"/>
    <sheet name="2-0035" sheetId="103" r:id="rId39"/>
    <sheet name="2-0036" sheetId="104" r:id="rId40"/>
    <sheet name="2-0037" sheetId="105" r:id="rId41"/>
    <sheet name="2-0038" sheetId="106" state="hidden" r:id="rId42"/>
    <sheet name="2-0039" sheetId="107" r:id="rId43"/>
    <sheet name="2-0040" sheetId="108" state="hidden" r:id="rId44"/>
    <sheet name="2-0041" sheetId="109" state="hidden" r:id="rId45"/>
    <sheet name="2-0042" sheetId="110" r:id="rId46"/>
    <sheet name="2-0043" sheetId="111" r:id="rId47"/>
    <sheet name="2-0044" sheetId="112" r:id="rId48"/>
    <sheet name="2-0045" sheetId="113" state="hidden" r:id="rId49"/>
    <sheet name="2-0046" sheetId="114" r:id="rId50"/>
    <sheet name="2-0047" sheetId="115" state="hidden" r:id="rId51"/>
    <sheet name="2-0048" sheetId="116" r:id="rId52"/>
    <sheet name="2-0049" sheetId="117" r:id="rId53"/>
    <sheet name="2-0050" sheetId="118" state="hidden" r:id="rId54"/>
    <sheet name="2-0051" sheetId="119" r:id="rId55"/>
    <sheet name="2-0052" sheetId="120" state="hidden" r:id="rId56"/>
    <sheet name="2-0053" sheetId="121" r:id="rId57"/>
    <sheet name="2-0054" sheetId="122" r:id="rId58"/>
    <sheet name="2-0055" sheetId="123" r:id="rId59"/>
    <sheet name="2-0056" sheetId="124" r:id="rId60"/>
    <sheet name="2-0057" sheetId="125" r:id="rId61"/>
    <sheet name="2-0058" sheetId="126" r:id="rId62"/>
    <sheet name="2-0059" sheetId="127" state="hidden" r:id="rId63"/>
    <sheet name="2-0060" sheetId="128" state="hidden" r:id="rId64"/>
    <sheet name="2-0061" sheetId="129" r:id="rId65"/>
    <sheet name="2-0062" sheetId="130" r:id="rId66"/>
    <sheet name="2-0063" sheetId="131" r:id="rId67"/>
    <sheet name="2-0064" sheetId="132" state="hidden" r:id="rId68"/>
    <sheet name="2-0065" sheetId="133" state="hidden" r:id="rId69"/>
    <sheet name="2-0066" sheetId="134" state="hidden" r:id="rId70"/>
    <sheet name="2-0067" sheetId="135" r:id="rId71"/>
    <sheet name="2-0068" sheetId="136" r:id="rId72"/>
    <sheet name="2-0069" sheetId="137" r:id="rId73"/>
    <sheet name="2-0070" sheetId="138" r:id="rId74"/>
    <sheet name="2-0071" sheetId="139" r:id="rId75"/>
    <sheet name="Лист1" sheetId="142" r:id="rId76"/>
  </sheets>
  <definedNames>
    <definedName name="_xlnm._FilterDatabase" localSheetId="13" hidden="1">'2-001'!$B$2:$B$71</definedName>
    <definedName name="Бюджет" localSheetId="1">'Исполнение бюджета'!$A$2:$AA$86</definedName>
    <definedName name="Бюджет">Бюджет!$A$3:$O$70</definedName>
    <definedName name="_xlnm.Print_Area" localSheetId="2">'1-000'!$A$2:$J$15</definedName>
    <definedName name="_xlnm.Print_Area" localSheetId="3">'1-001'!$A$2:$L$4</definedName>
    <definedName name="_xlnm.Print_Area" localSheetId="4">'1-002'!$A$2:$M$9</definedName>
    <definedName name="_xlnm.Print_Area" localSheetId="7">'1-003'!$A$2:$M$11</definedName>
    <definedName name="_xlnm.Print_Area" localSheetId="9">'1-004'!$A$2:$M$11</definedName>
    <definedName name="_xlnm.Print_Area" localSheetId="8">'1-005'!$A$2:$O$22</definedName>
    <definedName name="_xlnm.Print_Area" localSheetId="10">'1-006'!$A$2:$G$2</definedName>
    <definedName name="_xlnm.Print_Area" localSheetId="11">'1-007'!$A$2:$M$12</definedName>
    <definedName name="_xlnm.Print_Area" localSheetId="12">'1-008'!$A$2:$M$12</definedName>
    <definedName name="_xlnm.Print_Area" localSheetId="0">Бюджет!$A$1:$O$74</definedName>
    <definedName name="_xlnm.Print_Area" localSheetId="1">'Исполнение бюджета'!$A$1:$AA$86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84" l="1"/>
  <c r="E9" i="84"/>
  <c r="F9" i="84"/>
  <c r="G9" i="84"/>
  <c r="H9" i="84"/>
  <c r="I9" i="84"/>
  <c r="J9" i="84"/>
  <c r="K9" i="84"/>
  <c r="L9" i="84"/>
  <c r="M9" i="84"/>
  <c r="N9" i="84"/>
  <c r="C9" i="84"/>
  <c r="H11" i="29"/>
  <c r="I11" i="29" s="1"/>
  <c r="J11" i="29" s="1"/>
  <c r="K11" i="29" s="1"/>
  <c r="L11" i="29" s="1"/>
  <c r="M11" i="29" s="1"/>
  <c r="N11" i="29" s="1"/>
  <c r="O11" i="29" s="1"/>
  <c r="P11" i="29" s="1"/>
  <c r="Q11" i="29" s="1"/>
  <c r="R11" i="29" s="1"/>
  <c r="D3" i="111"/>
  <c r="E3" i="111"/>
  <c r="F3" i="111"/>
  <c r="G3" i="111"/>
  <c r="H3" i="111"/>
  <c r="I3" i="111"/>
  <c r="J3" i="111"/>
  <c r="K3" i="111"/>
  <c r="L3" i="111"/>
  <c r="M3" i="111"/>
  <c r="N3" i="111"/>
  <c r="C3" i="111"/>
  <c r="O9" i="1" l="1"/>
  <c r="N9" i="1"/>
  <c r="M9" i="1"/>
  <c r="L9" i="1"/>
  <c r="K9" i="1"/>
  <c r="J9" i="1"/>
  <c r="I9" i="1"/>
  <c r="H9" i="1"/>
  <c r="G9" i="1"/>
  <c r="F9" i="1"/>
  <c r="E9" i="1"/>
  <c r="D9" i="1"/>
  <c r="B64" i="1"/>
  <c r="N3" i="116"/>
  <c r="M3" i="116"/>
  <c r="L3" i="116"/>
  <c r="D3" i="116"/>
  <c r="C3" i="116"/>
  <c r="M57" i="79"/>
  <c r="L57" i="79"/>
  <c r="K57" i="79"/>
  <c r="J57" i="79"/>
  <c r="I57" i="79"/>
  <c r="H57" i="79"/>
  <c r="G57" i="79"/>
  <c r="F57" i="79"/>
  <c r="E57" i="79"/>
  <c r="D57" i="79"/>
  <c r="C57" i="79"/>
  <c r="B57" i="79"/>
  <c r="F3" i="116" l="1"/>
  <c r="G3" i="116"/>
  <c r="H3" i="116"/>
  <c r="I3" i="116"/>
  <c r="J3" i="116"/>
  <c r="K3" i="116"/>
  <c r="E3" i="116"/>
  <c r="D3" i="135"/>
  <c r="E3" i="135"/>
  <c r="F3" i="135"/>
  <c r="G3" i="135"/>
  <c r="H3" i="135"/>
  <c r="I3" i="135"/>
  <c r="J3" i="135"/>
  <c r="K3" i="135"/>
  <c r="L3" i="135"/>
  <c r="M3" i="135"/>
  <c r="N3" i="135"/>
  <c r="C3" i="135"/>
  <c r="D3" i="104" l="1"/>
  <c r="E3" i="104"/>
  <c r="F3" i="104"/>
  <c r="G3" i="104"/>
  <c r="H3" i="104"/>
  <c r="I3" i="104"/>
  <c r="J3" i="104"/>
  <c r="K3" i="104"/>
  <c r="L3" i="104"/>
  <c r="M3" i="104"/>
  <c r="N3" i="104"/>
  <c r="C3" i="104"/>
  <c r="B3" i="104" l="1"/>
  <c r="C8" i="26" l="1"/>
  <c r="D8" i="26"/>
  <c r="E8" i="26"/>
  <c r="F8" i="26"/>
  <c r="G8" i="26"/>
  <c r="H8" i="26"/>
  <c r="I8" i="26"/>
  <c r="J8" i="26"/>
  <c r="K8" i="26"/>
  <c r="L8" i="26"/>
  <c r="M8" i="26"/>
  <c r="B8" i="26"/>
  <c r="M7" i="26"/>
  <c r="L7" i="26"/>
  <c r="K7" i="26"/>
  <c r="J7" i="26"/>
  <c r="I7" i="26"/>
  <c r="H7" i="26"/>
  <c r="G7" i="26"/>
  <c r="F7" i="26"/>
  <c r="E7" i="26"/>
  <c r="D7" i="26"/>
  <c r="C7" i="26"/>
  <c r="B7" i="26"/>
  <c r="B2" i="26"/>
  <c r="D3" i="121" l="1"/>
  <c r="E3" i="121"/>
  <c r="F3" i="121"/>
  <c r="G3" i="121"/>
  <c r="H3" i="121"/>
  <c r="I3" i="121"/>
  <c r="J3" i="121"/>
  <c r="K3" i="121"/>
  <c r="L3" i="121"/>
  <c r="M3" i="121"/>
  <c r="N3" i="121"/>
  <c r="C3" i="121"/>
  <c r="D8" i="81"/>
  <c r="E8" i="81"/>
  <c r="F8" i="81"/>
  <c r="G8" i="81"/>
  <c r="H8" i="81"/>
  <c r="I8" i="81"/>
  <c r="J8" i="81"/>
  <c r="K8" i="81"/>
  <c r="L8" i="81"/>
  <c r="M8" i="81"/>
  <c r="N8" i="81"/>
  <c r="C8" i="81"/>
  <c r="D3" i="131"/>
  <c r="E62" i="1" s="1"/>
  <c r="E3" i="131"/>
  <c r="F62" i="1" s="1"/>
  <c r="F3" i="131"/>
  <c r="G62" i="1" s="1"/>
  <c r="G3" i="131"/>
  <c r="H62" i="1" s="1"/>
  <c r="H3" i="131"/>
  <c r="I62" i="1" s="1"/>
  <c r="I3" i="131"/>
  <c r="J62" i="1" s="1"/>
  <c r="J3" i="131"/>
  <c r="K62" i="1" s="1"/>
  <c r="K3" i="131"/>
  <c r="L62" i="1" s="1"/>
  <c r="L3" i="131"/>
  <c r="M62" i="1" s="1"/>
  <c r="M3" i="131"/>
  <c r="N62" i="1" s="1"/>
  <c r="N3" i="131"/>
  <c r="O62" i="1" s="1"/>
  <c r="C3" i="131"/>
  <c r="D3" i="98"/>
  <c r="E3" i="98"/>
  <c r="F3" i="98"/>
  <c r="G3" i="98"/>
  <c r="H3" i="98"/>
  <c r="I3" i="98"/>
  <c r="J3" i="98"/>
  <c r="K3" i="98"/>
  <c r="L3" i="98"/>
  <c r="M3" i="98"/>
  <c r="N3" i="98"/>
  <c r="C3" i="98"/>
  <c r="H59" i="79"/>
  <c r="I59" i="79"/>
  <c r="G59" i="79"/>
  <c r="F59" i="79"/>
  <c r="C8" i="79"/>
  <c r="D8" i="79"/>
  <c r="E8" i="79"/>
  <c r="F8" i="79"/>
  <c r="G8" i="79"/>
  <c r="H8" i="79"/>
  <c r="I8" i="79"/>
  <c r="J8" i="79"/>
  <c r="K8" i="79"/>
  <c r="L8" i="79"/>
  <c r="M8" i="79"/>
  <c r="B8" i="79"/>
  <c r="B3" i="131" l="1"/>
  <c r="B16" i="28"/>
  <c r="B35" i="1" l="1"/>
  <c r="E3" i="105" l="1"/>
  <c r="F3" i="105"/>
  <c r="G3" i="105"/>
  <c r="H3" i="105"/>
  <c r="O46" i="141" s="1"/>
  <c r="I3" i="105"/>
  <c r="J3" i="105"/>
  <c r="K3" i="105"/>
  <c r="L3" i="105"/>
  <c r="M42" i="1" s="1"/>
  <c r="M3" i="105"/>
  <c r="N3" i="105"/>
  <c r="D5" i="82"/>
  <c r="E5" i="82"/>
  <c r="F23" i="1" s="1"/>
  <c r="F5" i="82"/>
  <c r="K24" i="141" s="1"/>
  <c r="G5" i="82"/>
  <c r="M24" i="141" s="1"/>
  <c r="H5" i="82"/>
  <c r="O24" i="141" s="1"/>
  <c r="I5" i="82"/>
  <c r="J23" i="1" s="1"/>
  <c r="J5" i="82"/>
  <c r="K5" i="82"/>
  <c r="L5" i="82"/>
  <c r="M5" i="82"/>
  <c r="N5" i="82"/>
  <c r="AA24" i="141" s="1"/>
  <c r="C5" i="82"/>
  <c r="D23" i="1" s="1"/>
  <c r="D7" i="96"/>
  <c r="D6" i="96" s="1"/>
  <c r="E7" i="96"/>
  <c r="E6" i="96" s="1"/>
  <c r="F7" i="96"/>
  <c r="F6" i="96" s="1"/>
  <c r="K36" i="141" s="1"/>
  <c r="G7" i="96"/>
  <c r="G6" i="96" s="1"/>
  <c r="H7" i="96"/>
  <c r="H6" i="96" s="1"/>
  <c r="I7" i="96"/>
  <c r="J7" i="96"/>
  <c r="K7" i="96"/>
  <c r="K6" i="96" s="1"/>
  <c r="L7" i="96"/>
  <c r="L6" i="96" s="1"/>
  <c r="M7" i="96"/>
  <c r="N7" i="96"/>
  <c r="N6" i="96" s="1"/>
  <c r="C7" i="96"/>
  <c r="C6" i="96" s="1"/>
  <c r="A7" i="96"/>
  <c r="D7" i="85"/>
  <c r="G27" i="141" s="1"/>
  <c r="E7" i="85"/>
  <c r="I27" i="141" s="1"/>
  <c r="F7" i="85"/>
  <c r="K27" i="141" s="1"/>
  <c r="G7" i="85"/>
  <c r="M27" i="141" s="1"/>
  <c r="H7" i="85"/>
  <c r="O27" i="141" s="1"/>
  <c r="I7" i="85"/>
  <c r="Q27" i="141" s="1"/>
  <c r="J7" i="85"/>
  <c r="S27" i="141" s="1"/>
  <c r="K7" i="85"/>
  <c r="U27" i="141" s="1"/>
  <c r="L7" i="85"/>
  <c r="W27" i="141" s="1"/>
  <c r="M7" i="85"/>
  <c r="N26" i="1" s="1"/>
  <c r="N7" i="85"/>
  <c r="O26" i="1" s="1"/>
  <c r="C7" i="85"/>
  <c r="E27" i="141" s="1"/>
  <c r="E25" i="1"/>
  <c r="I26" i="141"/>
  <c r="K26" i="141"/>
  <c r="Q26" i="141"/>
  <c r="S26" i="141"/>
  <c r="L25" i="1"/>
  <c r="W26" i="141"/>
  <c r="B22" i="79"/>
  <c r="C22" i="79"/>
  <c r="D22" i="79"/>
  <c r="E22" i="79"/>
  <c r="F22" i="79"/>
  <c r="G22" i="79"/>
  <c r="H22" i="79"/>
  <c r="I22" i="79"/>
  <c r="J22" i="79"/>
  <c r="K22" i="79"/>
  <c r="L22" i="79"/>
  <c r="M22" i="79"/>
  <c r="B25" i="79"/>
  <c r="C25" i="79"/>
  <c r="D25" i="79"/>
  <c r="E25" i="79"/>
  <c r="F25" i="79"/>
  <c r="G25" i="79"/>
  <c r="H25" i="79"/>
  <c r="I25" i="79"/>
  <c r="J25" i="79"/>
  <c r="K25" i="79"/>
  <c r="L25" i="79"/>
  <c r="M25" i="79"/>
  <c r="B31" i="79"/>
  <c r="C31" i="79"/>
  <c r="D31" i="79"/>
  <c r="E31" i="79"/>
  <c r="F31" i="79"/>
  <c r="G31" i="79"/>
  <c r="H31" i="79"/>
  <c r="I31" i="79"/>
  <c r="J31" i="79"/>
  <c r="K31" i="79"/>
  <c r="L31" i="79"/>
  <c r="M31" i="79"/>
  <c r="B37" i="79"/>
  <c r="C37" i="79"/>
  <c r="D37" i="79"/>
  <c r="E37" i="79"/>
  <c r="F37" i="79"/>
  <c r="G37" i="79"/>
  <c r="H37" i="79"/>
  <c r="I37" i="79"/>
  <c r="J37" i="79"/>
  <c r="K37" i="79"/>
  <c r="L37" i="79"/>
  <c r="M37" i="79"/>
  <c r="N57" i="79"/>
  <c r="N58" i="79"/>
  <c r="N59" i="79"/>
  <c r="C56" i="79"/>
  <c r="D56" i="79"/>
  <c r="E56" i="79"/>
  <c r="F56" i="79"/>
  <c r="G56" i="79"/>
  <c r="H56" i="79"/>
  <c r="I56" i="79"/>
  <c r="J56" i="79"/>
  <c r="K56" i="79"/>
  <c r="L56" i="79"/>
  <c r="M56" i="79"/>
  <c r="B56" i="79"/>
  <c r="N38" i="79"/>
  <c r="N39" i="79"/>
  <c r="N40" i="79"/>
  <c r="N41" i="79"/>
  <c r="N42" i="79"/>
  <c r="N43" i="79"/>
  <c r="N44" i="79"/>
  <c r="N45" i="79"/>
  <c r="N46" i="79"/>
  <c r="N47" i="79"/>
  <c r="N48" i="79"/>
  <c r="N49" i="79"/>
  <c r="N50" i="79"/>
  <c r="N51" i="79"/>
  <c r="N52" i="79"/>
  <c r="N53" i="79"/>
  <c r="N54" i="79"/>
  <c r="N55" i="79"/>
  <c r="N9" i="79"/>
  <c r="N10" i="79"/>
  <c r="N11" i="79"/>
  <c r="N12" i="79"/>
  <c r="N13" i="79"/>
  <c r="N14" i="79"/>
  <c r="N15" i="79"/>
  <c r="N16" i="79"/>
  <c r="N17" i="79"/>
  <c r="N18" i="79"/>
  <c r="N19" i="79"/>
  <c r="N20" i="79"/>
  <c r="N21" i="79"/>
  <c r="N23" i="79"/>
  <c r="N24" i="79"/>
  <c r="N26" i="79"/>
  <c r="N27" i="79"/>
  <c r="N28" i="79"/>
  <c r="N29" i="79"/>
  <c r="N30" i="79"/>
  <c r="N32" i="79"/>
  <c r="N33" i="79"/>
  <c r="N34" i="79"/>
  <c r="N35" i="79"/>
  <c r="N36" i="79"/>
  <c r="D3" i="130"/>
  <c r="E61" i="1" s="1"/>
  <c r="E3" i="130"/>
  <c r="F61" i="1" s="1"/>
  <c r="F3" i="130"/>
  <c r="K71" i="141" s="1"/>
  <c r="G3" i="130"/>
  <c r="M71" i="141" s="1"/>
  <c r="H3" i="130"/>
  <c r="I61" i="1" s="1"/>
  <c r="I3" i="130"/>
  <c r="Q71" i="141" s="1"/>
  <c r="J3" i="130"/>
  <c r="S71" i="141" s="1"/>
  <c r="K3" i="130"/>
  <c r="U71" i="141" s="1"/>
  <c r="L3" i="130"/>
  <c r="M61" i="1" s="1"/>
  <c r="M3" i="130"/>
  <c r="N3" i="130"/>
  <c r="AA71" i="141" s="1"/>
  <c r="C3" i="130"/>
  <c r="E71" i="141" s="1"/>
  <c r="O72" i="141"/>
  <c r="Y72" i="141"/>
  <c r="AA72" i="141"/>
  <c r="E72" i="141"/>
  <c r="E64" i="1"/>
  <c r="I78" i="141"/>
  <c r="M78" i="141"/>
  <c r="O78" i="141"/>
  <c r="Q78" i="141"/>
  <c r="U78" i="141"/>
  <c r="W78" i="141"/>
  <c r="Y78" i="141"/>
  <c r="AA78" i="141"/>
  <c r="D3" i="125"/>
  <c r="E3" i="125"/>
  <c r="I66" i="141" s="1"/>
  <c r="F3" i="125"/>
  <c r="K66" i="141" s="1"/>
  <c r="G3" i="125"/>
  <c r="H3" i="125"/>
  <c r="O66" i="141" s="1"/>
  <c r="I3" i="125"/>
  <c r="Q66" i="141" s="1"/>
  <c r="J3" i="125"/>
  <c r="S66" i="141" s="1"/>
  <c r="K3" i="125"/>
  <c r="U66" i="141" s="1"/>
  <c r="L3" i="125"/>
  <c r="W66" i="141" s="1"/>
  <c r="M3" i="125"/>
  <c r="Y66" i="141" s="1"/>
  <c r="N3" i="125"/>
  <c r="AA66" i="141" s="1"/>
  <c r="C3" i="125"/>
  <c r="E66" i="141" s="1"/>
  <c r="D3" i="122"/>
  <c r="G63" i="141" s="1"/>
  <c r="E3" i="122"/>
  <c r="F3" i="122"/>
  <c r="K63" i="141" s="1"/>
  <c r="G3" i="122"/>
  <c r="M63" i="141" s="1"/>
  <c r="H3" i="122"/>
  <c r="O63" i="141" s="1"/>
  <c r="I3" i="122"/>
  <c r="J54" i="1" s="1"/>
  <c r="J3" i="122"/>
  <c r="S63" i="141" s="1"/>
  <c r="K3" i="122"/>
  <c r="L54" i="1" s="1"/>
  <c r="L3" i="122"/>
  <c r="W63" i="141" s="1"/>
  <c r="M3" i="122"/>
  <c r="Y63" i="141" s="1"/>
  <c r="N3" i="122"/>
  <c r="AA63" i="141" s="1"/>
  <c r="C3" i="122"/>
  <c r="D54" i="1" s="1"/>
  <c r="D3" i="126"/>
  <c r="E3" i="126"/>
  <c r="F59" i="1" s="1"/>
  <c r="F3" i="126"/>
  <c r="G3" i="126"/>
  <c r="H59" i="1" s="1"/>
  <c r="H3" i="126"/>
  <c r="O68" i="141" s="1"/>
  <c r="I3" i="126"/>
  <c r="J59" i="1" s="1"/>
  <c r="J3" i="126"/>
  <c r="K59" i="1" s="1"/>
  <c r="K3" i="126"/>
  <c r="U68" i="141" s="1"/>
  <c r="L3" i="126"/>
  <c r="M59" i="1" s="1"/>
  <c r="M3" i="126"/>
  <c r="Y68" i="141" s="1"/>
  <c r="N3" i="126"/>
  <c r="AA68" i="141" s="1"/>
  <c r="C3" i="126"/>
  <c r="E68" i="141" s="1"/>
  <c r="G23" i="141"/>
  <c r="O23" i="141"/>
  <c r="K22" i="1"/>
  <c r="AA23" i="141"/>
  <c r="F3" i="128"/>
  <c r="K69" i="141" s="1"/>
  <c r="G3" i="128"/>
  <c r="H3" i="128"/>
  <c r="I3" i="128"/>
  <c r="Q69" i="141" s="1"/>
  <c r="J3" i="128"/>
  <c r="S69" i="141" s="1"/>
  <c r="K3" i="128"/>
  <c r="U69" i="141" s="1"/>
  <c r="L3" i="128"/>
  <c r="W69" i="141" s="1"/>
  <c r="M3" i="128"/>
  <c r="L5" i="23"/>
  <c r="I7" i="90"/>
  <c r="Q31" i="141" s="1"/>
  <c r="J3" i="138"/>
  <c r="S81" i="141" s="1"/>
  <c r="G45" i="141"/>
  <c r="I45" i="141"/>
  <c r="S45" i="141"/>
  <c r="U45" i="141"/>
  <c r="Y45" i="141"/>
  <c r="AA45" i="141"/>
  <c r="D41" i="1"/>
  <c r="C8" i="89"/>
  <c r="E30" i="141" s="1"/>
  <c r="D8" i="89"/>
  <c r="G30" i="141" s="1"/>
  <c r="E8" i="89"/>
  <c r="I30" i="141" s="1"/>
  <c r="F8" i="89"/>
  <c r="K30" i="141" s="1"/>
  <c r="H8" i="89"/>
  <c r="O30" i="141" s="1"/>
  <c r="I8" i="89"/>
  <c r="Q30" i="141" s="1"/>
  <c r="J8" i="89"/>
  <c r="S30" i="141" s="1"/>
  <c r="K8" i="89"/>
  <c r="L29" i="1" s="1"/>
  <c r="L8" i="89"/>
  <c r="W30" i="141" s="1"/>
  <c r="M8" i="89"/>
  <c r="N29" i="1" s="1"/>
  <c r="N8" i="89"/>
  <c r="AA30" i="141" s="1"/>
  <c r="G8" i="89"/>
  <c r="M30" i="141" s="1"/>
  <c r="D3" i="114"/>
  <c r="G54" i="141" s="1"/>
  <c r="E3" i="114"/>
  <c r="I54" i="141" s="1"/>
  <c r="F3" i="114"/>
  <c r="G47" i="1" s="1"/>
  <c r="G3" i="114"/>
  <c r="M54" i="141" s="1"/>
  <c r="H3" i="114"/>
  <c r="O54" i="141" s="1"/>
  <c r="I3" i="114"/>
  <c r="Q54" i="141" s="1"/>
  <c r="J3" i="114"/>
  <c r="R54" i="141" s="1"/>
  <c r="D54" i="141" s="1"/>
  <c r="K3" i="114"/>
  <c r="L47" i="1" s="1"/>
  <c r="L3" i="114"/>
  <c r="M47" i="1" s="1"/>
  <c r="M3" i="114"/>
  <c r="N47" i="1" s="1"/>
  <c r="N3" i="114"/>
  <c r="O47" i="1" s="1"/>
  <c r="C3" i="114"/>
  <c r="D47" i="1" s="1"/>
  <c r="G65" i="141"/>
  <c r="B58" i="141"/>
  <c r="B50" i="1"/>
  <c r="D3" i="117"/>
  <c r="G58" i="141" s="1"/>
  <c r="E3" i="117"/>
  <c r="I58" i="141" s="1"/>
  <c r="F3" i="117"/>
  <c r="G50" i="1" s="1"/>
  <c r="G3" i="117"/>
  <c r="M58" i="141" s="1"/>
  <c r="H3" i="117"/>
  <c r="I50" i="1" s="1"/>
  <c r="I3" i="117"/>
  <c r="Q58" i="141" s="1"/>
  <c r="J3" i="117"/>
  <c r="K50" i="1" s="1"/>
  <c r="K3" i="117"/>
  <c r="U58" i="141" s="1"/>
  <c r="L3" i="117"/>
  <c r="M50" i="1" s="1"/>
  <c r="M3" i="117"/>
  <c r="Y58" i="141" s="1"/>
  <c r="N3" i="117"/>
  <c r="O50" i="1" s="1"/>
  <c r="C3" i="117"/>
  <c r="D50" i="1" s="1"/>
  <c r="C3" i="106"/>
  <c r="E47" i="141" s="1"/>
  <c r="D3" i="106"/>
  <c r="G47" i="141" s="1"/>
  <c r="E3" i="106"/>
  <c r="I47" i="141" s="1"/>
  <c r="F3" i="106"/>
  <c r="K47" i="141" s="1"/>
  <c r="G3" i="106"/>
  <c r="M47" i="141" s="1"/>
  <c r="H3" i="106"/>
  <c r="O47" i="141" s="1"/>
  <c r="I3" i="106"/>
  <c r="Q47" i="141" s="1"/>
  <c r="J3" i="106"/>
  <c r="S47" i="141" s="1"/>
  <c r="K3" i="106"/>
  <c r="L3" i="106"/>
  <c r="M3" i="106"/>
  <c r="Y47" i="141" s="1"/>
  <c r="N3" i="106"/>
  <c r="AA47" i="141" s="1"/>
  <c r="B4" i="106"/>
  <c r="B3" i="106" s="1"/>
  <c r="N3" i="133"/>
  <c r="M3" i="133"/>
  <c r="L3" i="133"/>
  <c r="W75" i="141" s="1"/>
  <c r="K3" i="133"/>
  <c r="U75" i="141" s="1"/>
  <c r="J3" i="133"/>
  <c r="S75" i="141" s="1"/>
  <c r="I3" i="133"/>
  <c r="Q75" i="141" s="1"/>
  <c r="H3" i="133"/>
  <c r="O75" i="141" s="1"/>
  <c r="G3" i="133"/>
  <c r="M75" i="141" s="1"/>
  <c r="F3" i="133"/>
  <c r="K75" i="141" s="1"/>
  <c r="E3" i="133"/>
  <c r="I75" i="141" s="1"/>
  <c r="D3" i="133"/>
  <c r="G75" i="141" s="1"/>
  <c r="C3" i="133"/>
  <c r="E75" i="141" s="1"/>
  <c r="D3" i="138"/>
  <c r="G81" i="141" s="1"/>
  <c r="E3" i="138"/>
  <c r="I81" i="141" s="1"/>
  <c r="F3" i="138"/>
  <c r="K81" i="141" s="1"/>
  <c r="G3" i="138"/>
  <c r="H67" i="1" s="1"/>
  <c r="H3" i="138"/>
  <c r="O81" i="141" s="1"/>
  <c r="I3" i="138"/>
  <c r="Q81" i="141" s="1"/>
  <c r="K3" i="138"/>
  <c r="L3" i="138"/>
  <c r="W81" i="141" s="1"/>
  <c r="M3" i="138"/>
  <c r="Y81" i="141" s="1"/>
  <c r="N3" i="138"/>
  <c r="AA81" i="141" s="1"/>
  <c r="C3" i="138"/>
  <c r="D67" i="1" s="1"/>
  <c r="D7" i="90"/>
  <c r="G31" i="141" s="1"/>
  <c r="E7" i="90"/>
  <c r="I31" i="141" s="1"/>
  <c r="F7" i="90"/>
  <c r="K31" i="141" s="1"/>
  <c r="G7" i="90"/>
  <c r="M31" i="141" s="1"/>
  <c r="H7" i="90"/>
  <c r="O31" i="141" s="1"/>
  <c r="J7" i="90"/>
  <c r="K30" i="1" s="1"/>
  <c r="K7" i="90"/>
  <c r="L30" i="1" s="1"/>
  <c r="L7" i="90"/>
  <c r="W31" i="141" s="1"/>
  <c r="M7" i="90"/>
  <c r="Y31" i="141" s="1"/>
  <c r="N7" i="90"/>
  <c r="AA31" i="141" s="1"/>
  <c r="C7" i="90"/>
  <c r="E31" i="141" s="1"/>
  <c r="C16" i="31"/>
  <c r="D16" i="31"/>
  <c r="E16" i="31"/>
  <c r="F16" i="31"/>
  <c r="G16" i="31"/>
  <c r="H16" i="31"/>
  <c r="I16" i="31"/>
  <c r="J16" i="31"/>
  <c r="K16" i="31"/>
  <c r="L16" i="31"/>
  <c r="M16" i="31"/>
  <c r="B16" i="31"/>
  <c r="B3" i="129"/>
  <c r="N3" i="128"/>
  <c r="AA69" i="141" s="1"/>
  <c r="E3" i="128"/>
  <c r="D3" i="128"/>
  <c r="C3" i="128"/>
  <c r="E69" i="141" s="1"/>
  <c r="B3" i="124"/>
  <c r="B3" i="123"/>
  <c r="AA61" i="141"/>
  <c r="Q61" i="141"/>
  <c r="O61" i="141"/>
  <c r="B3" i="121"/>
  <c r="AA65" i="141"/>
  <c r="Y65" i="141"/>
  <c r="W65" i="141"/>
  <c r="U65" i="141"/>
  <c r="S65" i="141"/>
  <c r="Q65" i="141"/>
  <c r="O65" i="141"/>
  <c r="M65" i="141"/>
  <c r="K65" i="141"/>
  <c r="I65" i="141"/>
  <c r="W57" i="141"/>
  <c r="K41" i="1"/>
  <c r="E56" i="1"/>
  <c r="F56" i="1"/>
  <c r="G56" i="1"/>
  <c r="H56" i="1"/>
  <c r="I56" i="1"/>
  <c r="J56" i="1"/>
  <c r="K56" i="1"/>
  <c r="L56" i="1"/>
  <c r="M56" i="1"/>
  <c r="N56" i="1"/>
  <c r="O56" i="1"/>
  <c r="K13" i="29"/>
  <c r="M12" i="141" s="1"/>
  <c r="L13" i="29"/>
  <c r="O12" i="141" s="1"/>
  <c r="M13" i="29"/>
  <c r="Q12" i="141" s="1"/>
  <c r="N13" i="29"/>
  <c r="S12" i="141" s="1"/>
  <c r="O13" i="29"/>
  <c r="U12" i="141" s="1"/>
  <c r="P13" i="29"/>
  <c r="W12" i="141" s="1"/>
  <c r="Q13" i="29"/>
  <c r="Y12" i="141" s="1"/>
  <c r="R13" i="29"/>
  <c r="AA12" i="141" s="1"/>
  <c r="H13" i="29"/>
  <c r="E13" i="1" s="1"/>
  <c r="I13" i="29"/>
  <c r="F13" i="1" s="1"/>
  <c r="J13" i="29"/>
  <c r="G13" i="1" s="1"/>
  <c r="G13" i="29"/>
  <c r="D13" i="1" s="1"/>
  <c r="X34" i="141"/>
  <c r="D35" i="141"/>
  <c r="AB40" i="141"/>
  <c r="AB62" i="141"/>
  <c r="AB56" i="141"/>
  <c r="AB77" i="141"/>
  <c r="AB67" i="141"/>
  <c r="D48" i="141"/>
  <c r="D71" i="141"/>
  <c r="D72" i="141"/>
  <c r="AB73" i="141"/>
  <c r="AB20" i="141"/>
  <c r="Z73" i="141"/>
  <c r="Z67" i="141"/>
  <c r="Z62" i="141"/>
  <c r="Z56" i="141"/>
  <c r="D51" i="141"/>
  <c r="Z40" i="141"/>
  <c r="Z34" i="141"/>
  <c r="D28" i="141"/>
  <c r="D21" i="141"/>
  <c r="H3" i="101"/>
  <c r="O41" i="141" s="1"/>
  <c r="O26" i="141"/>
  <c r="O25" i="1"/>
  <c r="H25" i="1"/>
  <c r="I25" i="1"/>
  <c r="Y26" i="141"/>
  <c r="AA26" i="141"/>
  <c r="D25" i="1"/>
  <c r="X20" i="141"/>
  <c r="W23" i="141"/>
  <c r="W25" i="141"/>
  <c r="W61" i="141"/>
  <c r="X73" i="141"/>
  <c r="X77" i="141"/>
  <c r="X44" i="141"/>
  <c r="G25" i="141"/>
  <c r="G28" i="141"/>
  <c r="G29" i="141"/>
  <c r="G32" i="141"/>
  <c r="Q64" i="141"/>
  <c r="R62" i="141"/>
  <c r="B53" i="141"/>
  <c r="D53" i="141"/>
  <c r="D6" i="91"/>
  <c r="G53" i="141" s="1"/>
  <c r="E6" i="91"/>
  <c r="I53" i="141" s="1"/>
  <c r="F6" i="91"/>
  <c r="K53" i="141" s="1"/>
  <c r="G6" i="91"/>
  <c r="M53" i="141" s="1"/>
  <c r="H6" i="91"/>
  <c r="O53" i="141" s="1"/>
  <c r="I6" i="91"/>
  <c r="Q53" i="141" s="1"/>
  <c r="J6" i="91"/>
  <c r="S53" i="141" s="1"/>
  <c r="K6" i="91"/>
  <c r="U53" i="141" s="1"/>
  <c r="L6" i="91"/>
  <c r="W53" i="141" s="1"/>
  <c r="M6" i="91"/>
  <c r="Y53" i="141" s="1"/>
  <c r="N6" i="91"/>
  <c r="AA53" i="141" s="1"/>
  <c r="C6" i="91"/>
  <c r="E53" i="141" s="1"/>
  <c r="D3" i="105"/>
  <c r="E42" i="1" s="1"/>
  <c r="C3" i="105"/>
  <c r="E46" i="141" s="1"/>
  <c r="W79" i="141"/>
  <c r="W80" i="141"/>
  <c r="W76" i="141"/>
  <c r="W70" i="141"/>
  <c r="X67" i="141"/>
  <c r="W64" i="141"/>
  <c r="X62" i="141"/>
  <c r="W59" i="141"/>
  <c r="W60" i="141"/>
  <c r="X56" i="141"/>
  <c r="W45" i="141"/>
  <c r="W47" i="141"/>
  <c r="W48" i="141"/>
  <c r="W49" i="141"/>
  <c r="W50" i="141"/>
  <c r="W51" i="141"/>
  <c r="W52" i="141"/>
  <c r="W42" i="141"/>
  <c r="W43" i="141"/>
  <c r="X40" i="141"/>
  <c r="W35" i="141"/>
  <c r="W37" i="141"/>
  <c r="W38" i="141"/>
  <c r="W39" i="141"/>
  <c r="W28" i="141"/>
  <c r="W29" i="141"/>
  <c r="W32" i="141"/>
  <c r="D31" i="141"/>
  <c r="I33" i="141"/>
  <c r="G33" i="141"/>
  <c r="M33" i="141"/>
  <c r="Q33" i="141"/>
  <c r="U33" i="141"/>
  <c r="W33" i="141"/>
  <c r="AA33" i="141"/>
  <c r="E33" i="141"/>
  <c r="D26" i="141"/>
  <c r="D10" i="1"/>
  <c r="Q57" i="141"/>
  <c r="Q59" i="141"/>
  <c r="Q60" i="141"/>
  <c r="V77" i="141"/>
  <c r="V73" i="141"/>
  <c r="V67" i="141"/>
  <c r="V62" i="141"/>
  <c r="V56" i="141"/>
  <c r="V44" i="141"/>
  <c r="V40" i="141"/>
  <c r="V34" i="141"/>
  <c r="V20" i="141"/>
  <c r="T77" i="141"/>
  <c r="T73" i="141"/>
  <c r="T67" i="141"/>
  <c r="T62" i="141"/>
  <c r="T56" i="141"/>
  <c r="T44" i="141"/>
  <c r="T40" i="141"/>
  <c r="T34" i="141"/>
  <c r="T20" i="141"/>
  <c r="R77" i="141"/>
  <c r="R73" i="141"/>
  <c r="R67" i="141"/>
  <c r="R56" i="141"/>
  <c r="R44" i="141"/>
  <c r="R20" i="141"/>
  <c r="P67" i="141"/>
  <c r="P62" i="141"/>
  <c r="P56" i="141"/>
  <c r="P44" i="141"/>
  <c r="P34" i="141"/>
  <c r="P77" i="141"/>
  <c r="P73" i="141"/>
  <c r="P20" i="141"/>
  <c r="N40" i="141"/>
  <c r="N44" i="141"/>
  <c r="N34" i="141"/>
  <c r="N77" i="141"/>
  <c r="N73" i="141"/>
  <c r="N67" i="141"/>
  <c r="N62" i="141"/>
  <c r="N56" i="141"/>
  <c r="N20" i="141"/>
  <c r="L77" i="141"/>
  <c r="L73" i="141"/>
  <c r="L67" i="141"/>
  <c r="L62" i="141"/>
  <c r="L56" i="141"/>
  <c r="L44" i="141"/>
  <c r="L40" i="141"/>
  <c r="L34" i="141"/>
  <c r="L20" i="141"/>
  <c r="J73" i="141"/>
  <c r="J34" i="141"/>
  <c r="J44" i="141"/>
  <c r="J40" i="141"/>
  <c r="J56" i="141"/>
  <c r="J62" i="141"/>
  <c r="J77" i="141"/>
  <c r="H77" i="141"/>
  <c r="H73" i="141"/>
  <c r="F73" i="141"/>
  <c r="H67" i="141"/>
  <c r="H62" i="141"/>
  <c r="H56" i="141"/>
  <c r="H44" i="141"/>
  <c r="H40" i="141"/>
  <c r="H34" i="141"/>
  <c r="H20" i="141"/>
  <c r="F16" i="141"/>
  <c r="F40" i="141"/>
  <c r="F44" i="141"/>
  <c r="F62" i="141"/>
  <c r="D63" i="141"/>
  <c r="D64" i="141"/>
  <c r="D65" i="141"/>
  <c r="D66" i="141"/>
  <c r="F67" i="141"/>
  <c r="D68" i="141"/>
  <c r="D69" i="141"/>
  <c r="D70" i="141"/>
  <c r="D74" i="141"/>
  <c r="D75" i="141"/>
  <c r="D76" i="141"/>
  <c r="F77" i="141"/>
  <c r="D78" i="141"/>
  <c r="D79" i="141"/>
  <c r="D80" i="141"/>
  <c r="D81" i="141"/>
  <c r="D82" i="141"/>
  <c r="D83" i="141"/>
  <c r="E64" i="141"/>
  <c r="E65" i="141"/>
  <c r="G64" i="141"/>
  <c r="G66" i="141"/>
  <c r="I64" i="141"/>
  <c r="K64" i="141"/>
  <c r="M64" i="141"/>
  <c r="O64" i="141"/>
  <c r="S64" i="141"/>
  <c r="U64" i="141"/>
  <c r="Y64" i="141"/>
  <c r="AA64" i="141"/>
  <c r="E70" i="141"/>
  <c r="G69" i="141"/>
  <c r="G70" i="141"/>
  <c r="I70" i="141"/>
  <c r="K68" i="141"/>
  <c r="K70" i="141"/>
  <c r="M69" i="141"/>
  <c r="M70" i="141"/>
  <c r="O69" i="141"/>
  <c r="O70" i="141"/>
  <c r="Q70" i="141"/>
  <c r="S70" i="141"/>
  <c r="U70" i="141"/>
  <c r="Y69" i="141"/>
  <c r="Y70" i="141"/>
  <c r="AA70" i="141"/>
  <c r="G71" i="141"/>
  <c r="Y71" i="141"/>
  <c r="G72" i="141"/>
  <c r="I72" i="141"/>
  <c r="K72" i="141"/>
  <c r="M72" i="141"/>
  <c r="S72" i="141"/>
  <c r="U72" i="141"/>
  <c r="W72" i="141"/>
  <c r="E76" i="141"/>
  <c r="G76" i="141"/>
  <c r="I76" i="141"/>
  <c r="K76" i="141"/>
  <c r="M76" i="141"/>
  <c r="O76" i="141"/>
  <c r="Q76" i="141"/>
  <c r="S76" i="141"/>
  <c r="U76" i="141"/>
  <c r="Y75" i="141"/>
  <c r="Y76" i="141"/>
  <c r="AA75" i="141"/>
  <c r="AA76" i="141"/>
  <c r="E78" i="141"/>
  <c r="E79" i="141"/>
  <c r="E80" i="141"/>
  <c r="G79" i="141"/>
  <c r="G80" i="141"/>
  <c r="I79" i="141"/>
  <c r="I80" i="141"/>
  <c r="K78" i="141"/>
  <c r="K79" i="141"/>
  <c r="K80" i="141"/>
  <c r="M79" i="141"/>
  <c r="M80" i="141"/>
  <c r="O79" i="141"/>
  <c r="O80" i="141"/>
  <c r="Q79" i="141"/>
  <c r="Q80" i="141"/>
  <c r="S78" i="141"/>
  <c r="S79" i="141"/>
  <c r="S80" i="141"/>
  <c r="U79" i="141"/>
  <c r="U80" i="141"/>
  <c r="U81" i="141"/>
  <c r="Y79" i="141"/>
  <c r="Y80" i="141"/>
  <c r="AA79" i="141"/>
  <c r="AA80" i="141"/>
  <c r="E82" i="141"/>
  <c r="G82" i="141"/>
  <c r="I82" i="141"/>
  <c r="K82" i="141"/>
  <c r="M82" i="141"/>
  <c r="O82" i="141"/>
  <c r="Q82" i="141"/>
  <c r="S82" i="141"/>
  <c r="U82" i="141"/>
  <c r="W82" i="141"/>
  <c r="Y82" i="141"/>
  <c r="AA82" i="141"/>
  <c r="E83" i="141"/>
  <c r="G83" i="141"/>
  <c r="I83" i="141"/>
  <c r="K83" i="141"/>
  <c r="M83" i="141"/>
  <c r="O83" i="141"/>
  <c r="Q83" i="141"/>
  <c r="S83" i="141"/>
  <c r="U83" i="141"/>
  <c r="W83" i="141"/>
  <c r="Y83" i="141"/>
  <c r="D55" i="141"/>
  <c r="F56" i="141"/>
  <c r="D57" i="141"/>
  <c r="D58" i="141"/>
  <c r="D59" i="141"/>
  <c r="D60" i="141"/>
  <c r="D61" i="141"/>
  <c r="E57" i="141"/>
  <c r="G57" i="141"/>
  <c r="I57" i="141"/>
  <c r="K57" i="141"/>
  <c r="M57" i="141"/>
  <c r="O57" i="141"/>
  <c r="S57" i="141"/>
  <c r="U57" i="141"/>
  <c r="Y57" i="141"/>
  <c r="AA57" i="141"/>
  <c r="E59" i="141"/>
  <c r="G59" i="141"/>
  <c r="I59" i="141"/>
  <c r="K59" i="141"/>
  <c r="M59" i="141"/>
  <c r="O59" i="141"/>
  <c r="S59" i="141"/>
  <c r="U59" i="141"/>
  <c r="Y59" i="141"/>
  <c r="AA59" i="141"/>
  <c r="E60" i="141"/>
  <c r="G60" i="141"/>
  <c r="I60" i="141"/>
  <c r="K60" i="141"/>
  <c r="M60" i="141"/>
  <c r="O60" i="141"/>
  <c r="S60" i="141"/>
  <c r="U60" i="141"/>
  <c r="Y60" i="141"/>
  <c r="AA60" i="141"/>
  <c r="G61" i="141"/>
  <c r="I61" i="141"/>
  <c r="K61" i="141"/>
  <c r="M61" i="141"/>
  <c r="S61" i="141"/>
  <c r="U61" i="141"/>
  <c r="Y61" i="141"/>
  <c r="E55" i="141"/>
  <c r="G55" i="141"/>
  <c r="I55" i="141"/>
  <c r="K55" i="141"/>
  <c r="M55" i="141"/>
  <c r="O55" i="141"/>
  <c r="Q55" i="141"/>
  <c r="S55" i="141"/>
  <c r="U55" i="141"/>
  <c r="W55" i="141"/>
  <c r="Y55" i="141"/>
  <c r="AA55" i="141"/>
  <c r="D45" i="141"/>
  <c r="D46" i="141"/>
  <c r="D47" i="141"/>
  <c r="D49" i="141"/>
  <c r="D50" i="141"/>
  <c r="D52" i="141"/>
  <c r="D41" i="141"/>
  <c r="D42" i="141"/>
  <c r="D43" i="141"/>
  <c r="D36" i="141"/>
  <c r="D37" i="141"/>
  <c r="D39" i="141"/>
  <c r="F34" i="141"/>
  <c r="E35" i="141"/>
  <c r="E37" i="141"/>
  <c r="E38" i="141"/>
  <c r="E39" i="141"/>
  <c r="G35" i="141"/>
  <c r="G37" i="141"/>
  <c r="G38" i="141"/>
  <c r="G39" i="141"/>
  <c r="I35" i="141"/>
  <c r="I37" i="141"/>
  <c r="I38" i="141"/>
  <c r="I39" i="141"/>
  <c r="K35" i="141"/>
  <c r="K37" i="141"/>
  <c r="K38" i="141"/>
  <c r="K39" i="141"/>
  <c r="M35" i="141"/>
  <c r="M37" i="141"/>
  <c r="M38" i="141"/>
  <c r="M39" i="141"/>
  <c r="O35" i="141"/>
  <c r="O37" i="141"/>
  <c r="O38" i="141"/>
  <c r="O39" i="141"/>
  <c r="Q35" i="141"/>
  <c r="Q37" i="141"/>
  <c r="Q38" i="141"/>
  <c r="Q39" i="141"/>
  <c r="S35" i="141"/>
  <c r="S37" i="141"/>
  <c r="S38" i="141"/>
  <c r="S39" i="141"/>
  <c r="U35" i="141"/>
  <c r="U37" i="141"/>
  <c r="U38" i="141"/>
  <c r="U39" i="141"/>
  <c r="Y35" i="141"/>
  <c r="Y37" i="141"/>
  <c r="Y38" i="141"/>
  <c r="Y39" i="141"/>
  <c r="AA35" i="141"/>
  <c r="AA37" i="141"/>
  <c r="AA38" i="141"/>
  <c r="AA39" i="141"/>
  <c r="E41" i="141"/>
  <c r="E42" i="141"/>
  <c r="E43" i="141"/>
  <c r="G41" i="141"/>
  <c r="G42" i="141"/>
  <c r="G43" i="141"/>
  <c r="I41" i="141"/>
  <c r="I42" i="141"/>
  <c r="I43" i="141"/>
  <c r="K42" i="141"/>
  <c r="K43" i="141"/>
  <c r="M42" i="141"/>
  <c r="M43" i="141"/>
  <c r="O42" i="141"/>
  <c r="O43" i="141"/>
  <c r="I3" i="101"/>
  <c r="Q41" i="141" s="1"/>
  <c r="Q42" i="141"/>
  <c r="Q43" i="141"/>
  <c r="J3" i="101"/>
  <c r="S41" i="141" s="1"/>
  <c r="S42" i="141"/>
  <c r="S43" i="141"/>
  <c r="U42" i="141"/>
  <c r="U43" i="141"/>
  <c r="Y41" i="141"/>
  <c r="Y42" i="141"/>
  <c r="Y43" i="141"/>
  <c r="AA41" i="141"/>
  <c r="AA42" i="141"/>
  <c r="AA43" i="141"/>
  <c r="E48" i="141"/>
  <c r="E49" i="141"/>
  <c r="E50" i="141"/>
  <c r="E51" i="141"/>
  <c r="E52" i="141"/>
  <c r="G48" i="141"/>
  <c r="G49" i="141"/>
  <c r="G50" i="141"/>
  <c r="G51" i="141"/>
  <c r="G52" i="141"/>
  <c r="I48" i="141"/>
  <c r="I49" i="141"/>
  <c r="I50" i="141"/>
  <c r="I51" i="141"/>
  <c r="I52" i="141"/>
  <c r="K48" i="141"/>
  <c r="K49" i="141"/>
  <c r="K50" i="141"/>
  <c r="K51" i="141"/>
  <c r="K52" i="141"/>
  <c r="M45" i="141"/>
  <c r="M48" i="141"/>
  <c r="M49" i="141"/>
  <c r="M50" i="141"/>
  <c r="M51" i="141"/>
  <c r="M52" i="141"/>
  <c r="O45" i="141"/>
  <c r="O48" i="141"/>
  <c r="O49" i="141"/>
  <c r="O50" i="141"/>
  <c r="O51" i="141"/>
  <c r="O52" i="141"/>
  <c r="Q45" i="141"/>
  <c r="Q48" i="141"/>
  <c r="Q49" i="141"/>
  <c r="Q50" i="141"/>
  <c r="Q51" i="141"/>
  <c r="Q52" i="141"/>
  <c r="S48" i="141"/>
  <c r="S49" i="141"/>
  <c r="S50" i="141"/>
  <c r="S51" i="141"/>
  <c r="S52" i="141"/>
  <c r="U47" i="141"/>
  <c r="U48" i="141"/>
  <c r="U49" i="141"/>
  <c r="U50" i="141"/>
  <c r="U51" i="141"/>
  <c r="U52" i="141"/>
  <c r="Y48" i="141"/>
  <c r="Y49" i="141"/>
  <c r="Y50" i="141"/>
  <c r="Y51" i="141"/>
  <c r="Y52" i="141"/>
  <c r="AA48" i="141"/>
  <c r="AA49" i="141"/>
  <c r="AA50" i="141"/>
  <c r="AA51" i="141"/>
  <c r="AA52" i="141"/>
  <c r="K54" i="141"/>
  <c r="D22" i="141"/>
  <c r="D23" i="141"/>
  <c r="D24" i="141"/>
  <c r="D25" i="141"/>
  <c r="D27" i="141"/>
  <c r="D29" i="141"/>
  <c r="D30" i="141"/>
  <c r="D32" i="141"/>
  <c r="D33" i="141"/>
  <c r="E32" i="141"/>
  <c r="I32" i="141"/>
  <c r="K32" i="141"/>
  <c r="M32" i="141"/>
  <c r="O32" i="141"/>
  <c r="Q32" i="141"/>
  <c r="S32" i="141"/>
  <c r="U32" i="141"/>
  <c r="Y32" i="141"/>
  <c r="AA32" i="141"/>
  <c r="K33" i="141"/>
  <c r="O33" i="141"/>
  <c r="S33" i="141"/>
  <c r="Y33" i="141"/>
  <c r="D22" i="1"/>
  <c r="I23" i="141"/>
  <c r="G22" i="1"/>
  <c r="M23" i="141"/>
  <c r="Q23" i="141"/>
  <c r="L22" i="1"/>
  <c r="Y23" i="141"/>
  <c r="E25" i="141"/>
  <c r="I25" i="141"/>
  <c r="K25" i="141"/>
  <c r="M25" i="141"/>
  <c r="O25" i="141"/>
  <c r="Q25" i="141"/>
  <c r="S25" i="141"/>
  <c r="U25" i="141"/>
  <c r="Y25" i="141"/>
  <c r="AA25" i="141"/>
  <c r="Y27" i="141"/>
  <c r="E28" i="141"/>
  <c r="I28" i="141"/>
  <c r="K28" i="141"/>
  <c r="M28" i="141"/>
  <c r="O28" i="141"/>
  <c r="Q28" i="141"/>
  <c r="S28" i="141"/>
  <c r="U28" i="141"/>
  <c r="Y28" i="141"/>
  <c r="AA28" i="141"/>
  <c r="E29" i="141"/>
  <c r="I29" i="141"/>
  <c r="K29" i="141"/>
  <c r="M29" i="141"/>
  <c r="O29" i="141"/>
  <c r="Q29" i="141"/>
  <c r="S29" i="141"/>
  <c r="U29" i="141"/>
  <c r="Y29" i="141"/>
  <c r="AA29" i="141"/>
  <c r="F20" i="141"/>
  <c r="K9" i="141"/>
  <c r="K14" i="141"/>
  <c r="AA9" i="141"/>
  <c r="AA14" i="141"/>
  <c r="Y9" i="141"/>
  <c r="Y14" i="141"/>
  <c r="W9" i="141"/>
  <c r="W14" i="141"/>
  <c r="W15" i="141"/>
  <c r="U9" i="141"/>
  <c r="U14" i="141"/>
  <c r="U15" i="141"/>
  <c r="S9" i="141"/>
  <c r="S14" i="141"/>
  <c r="S15" i="141"/>
  <c r="Q9" i="141"/>
  <c r="Q14" i="141"/>
  <c r="O9" i="141"/>
  <c r="O14" i="141"/>
  <c r="M9" i="141"/>
  <c r="M14" i="141"/>
  <c r="I9" i="141"/>
  <c r="I14" i="141"/>
  <c r="G9" i="141"/>
  <c r="G14" i="141"/>
  <c r="E9" i="141"/>
  <c r="E14" i="141"/>
  <c r="B81" i="141"/>
  <c r="B80" i="141"/>
  <c r="B79" i="141"/>
  <c r="B78" i="141"/>
  <c r="B77" i="141"/>
  <c r="B76" i="141"/>
  <c r="B75" i="141"/>
  <c r="B74" i="141"/>
  <c r="B73" i="141"/>
  <c r="B72" i="141"/>
  <c r="B71" i="141"/>
  <c r="B70" i="141"/>
  <c r="B69" i="141"/>
  <c r="B68" i="141"/>
  <c r="B67" i="141"/>
  <c r="B66" i="141"/>
  <c r="B65" i="141"/>
  <c r="B64" i="141"/>
  <c r="B63" i="141"/>
  <c r="B62" i="141"/>
  <c r="B61" i="141"/>
  <c r="B60" i="141"/>
  <c r="B59" i="141"/>
  <c r="B57" i="141"/>
  <c r="B56" i="141"/>
  <c r="B55" i="141"/>
  <c r="B54" i="141"/>
  <c r="B52" i="141"/>
  <c r="B51" i="141"/>
  <c r="B50" i="141"/>
  <c r="B49" i="141"/>
  <c r="B48" i="141"/>
  <c r="B47" i="141"/>
  <c r="B46" i="141"/>
  <c r="B45" i="141"/>
  <c r="B44" i="141"/>
  <c r="B43" i="141"/>
  <c r="B42" i="141"/>
  <c r="B41" i="141"/>
  <c r="B40" i="141"/>
  <c r="B39" i="141"/>
  <c r="B38" i="141"/>
  <c r="B37" i="141"/>
  <c r="B36" i="141"/>
  <c r="B35" i="141"/>
  <c r="B34" i="141"/>
  <c r="B33" i="141"/>
  <c r="B32" i="141"/>
  <c r="B31" i="141"/>
  <c r="B30" i="141"/>
  <c r="B29" i="141"/>
  <c r="B28" i="141"/>
  <c r="B27" i="141"/>
  <c r="B26" i="141"/>
  <c r="B25" i="141"/>
  <c r="B24" i="141"/>
  <c r="B23" i="141"/>
  <c r="B22" i="141"/>
  <c r="B21" i="141"/>
  <c r="B20" i="141"/>
  <c r="C7" i="141"/>
  <c r="E43" i="1"/>
  <c r="E44" i="1"/>
  <c r="E45" i="1"/>
  <c r="E46" i="1"/>
  <c r="F43" i="1"/>
  <c r="F44" i="1"/>
  <c r="F45" i="1"/>
  <c r="F46" i="1"/>
  <c r="G43" i="1"/>
  <c r="G44" i="1"/>
  <c r="G45" i="1"/>
  <c r="G46" i="1"/>
  <c r="H41" i="1"/>
  <c r="H43" i="1"/>
  <c r="H44" i="1"/>
  <c r="H45" i="1"/>
  <c r="H46" i="1"/>
  <c r="I41" i="1"/>
  <c r="I43" i="1"/>
  <c r="I44" i="1"/>
  <c r="I45" i="1"/>
  <c r="I46" i="1"/>
  <c r="J41" i="1"/>
  <c r="J43" i="1"/>
  <c r="J44" i="1"/>
  <c r="J45" i="1"/>
  <c r="J46" i="1"/>
  <c r="K43" i="1"/>
  <c r="K44" i="1"/>
  <c r="K45" i="1"/>
  <c r="K46" i="1"/>
  <c r="L43" i="1"/>
  <c r="L44" i="1"/>
  <c r="L45" i="1"/>
  <c r="L46" i="1"/>
  <c r="M41" i="1"/>
  <c r="M43" i="1"/>
  <c r="M44" i="1"/>
  <c r="M45" i="1"/>
  <c r="M46" i="1"/>
  <c r="N43" i="1"/>
  <c r="N44" i="1"/>
  <c r="N45" i="1"/>
  <c r="N46" i="1"/>
  <c r="O43" i="1"/>
  <c r="O44" i="1"/>
  <c r="O45" i="1"/>
  <c r="O46" i="1"/>
  <c r="D43" i="1"/>
  <c r="D44" i="1"/>
  <c r="D45" i="1"/>
  <c r="D46" i="1"/>
  <c r="B47" i="1"/>
  <c r="J47" i="1"/>
  <c r="B30" i="1"/>
  <c r="D30" i="1"/>
  <c r="B3" i="139"/>
  <c r="B3" i="137"/>
  <c r="B3" i="136"/>
  <c r="B3" i="134"/>
  <c r="N3" i="132"/>
  <c r="AA74" i="141" s="1"/>
  <c r="M3" i="132"/>
  <c r="Y74" i="141" s="1"/>
  <c r="L3" i="132"/>
  <c r="W74" i="141" s="1"/>
  <c r="K3" i="132"/>
  <c r="U74" i="141" s="1"/>
  <c r="J3" i="132"/>
  <c r="S74" i="141" s="1"/>
  <c r="I3" i="132"/>
  <c r="Q74" i="141" s="1"/>
  <c r="H3" i="132"/>
  <c r="O74" i="141" s="1"/>
  <c r="G3" i="132"/>
  <c r="M74" i="141" s="1"/>
  <c r="F3" i="132"/>
  <c r="K74" i="141" s="1"/>
  <c r="E3" i="132"/>
  <c r="I74" i="141" s="1"/>
  <c r="D3" i="132"/>
  <c r="G74" i="141" s="1"/>
  <c r="C3" i="132"/>
  <c r="E74" i="141" s="1"/>
  <c r="N3" i="127"/>
  <c r="M3" i="127"/>
  <c r="L3" i="127"/>
  <c r="K3" i="127"/>
  <c r="J3" i="127"/>
  <c r="I3" i="127"/>
  <c r="H3" i="127"/>
  <c r="G3" i="127"/>
  <c r="F3" i="127"/>
  <c r="E3" i="127"/>
  <c r="D3" i="127"/>
  <c r="C3" i="127"/>
  <c r="B3" i="120"/>
  <c r="B3" i="119"/>
  <c r="B3" i="118"/>
  <c r="B3" i="115"/>
  <c r="B4" i="113"/>
  <c r="B3" i="112"/>
  <c r="B3" i="111"/>
  <c r="B3" i="110"/>
  <c r="B3" i="109"/>
  <c r="N3" i="108"/>
  <c r="M3" i="108"/>
  <c r="L3" i="108"/>
  <c r="K3" i="108"/>
  <c r="J3" i="108"/>
  <c r="I3" i="108"/>
  <c r="H3" i="108"/>
  <c r="G3" i="108"/>
  <c r="F3" i="108"/>
  <c r="E3" i="108"/>
  <c r="D3" i="108"/>
  <c r="C3" i="108"/>
  <c r="B3" i="107"/>
  <c r="O41" i="1"/>
  <c r="N41" i="1"/>
  <c r="G41" i="1"/>
  <c r="B3" i="103"/>
  <c r="B3" i="102"/>
  <c r="L3" i="101"/>
  <c r="K3" i="101"/>
  <c r="U41" i="141" s="1"/>
  <c r="G3" i="101"/>
  <c r="H38" i="1" s="1"/>
  <c r="F3" i="101"/>
  <c r="G38" i="1" s="1"/>
  <c r="B3" i="100"/>
  <c r="B3" i="99"/>
  <c r="B3" i="98"/>
  <c r="B4" i="97"/>
  <c r="B4" i="95"/>
  <c r="B7" i="94"/>
  <c r="B6" i="92"/>
  <c r="B7" i="88"/>
  <c r="B7" i="87"/>
  <c r="B6" i="86"/>
  <c r="B5" i="83"/>
  <c r="B71" i="33"/>
  <c r="B70" i="33"/>
  <c r="B69" i="33"/>
  <c r="B68" i="33"/>
  <c r="N67" i="33"/>
  <c r="M67" i="33"/>
  <c r="L67" i="33"/>
  <c r="K67" i="33"/>
  <c r="J67" i="33"/>
  <c r="I67" i="33"/>
  <c r="H67" i="33"/>
  <c r="G67" i="33"/>
  <c r="F67" i="33"/>
  <c r="E67" i="33"/>
  <c r="D67" i="33"/>
  <c r="C67" i="33"/>
  <c r="B66" i="33"/>
  <c r="B65" i="33"/>
  <c r="N64" i="33"/>
  <c r="N63" i="33" s="1"/>
  <c r="M64" i="33"/>
  <c r="M63" i="33" s="1"/>
  <c r="L64" i="33"/>
  <c r="L63" i="33" s="1"/>
  <c r="K64" i="33"/>
  <c r="K63" i="33" s="1"/>
  <c r="J64" i="33"/>
  <c r="J63" i="33" s="1"/>
  <c r="I64" i="33"/>
  <c r="I63" i="33" s="1"/>
  <c r="H64" i="33"/>
  <c r="H63" i="33" s="1"/>
  <c r="G64" i="33"/>
  <c r="G63" i="33" s="1"/>
  <c r="F64" i="33"/>
  <c r="F63" i="33" s="1"/>
  <c r="E64" i="33"/>
  <c r="E63" i="33" s="1"/>
  <c r="D64" i="33"/>
  <c r="D63" i="33" s="1"/>
  <c r="C64" i="33"/>
  <c r="C63" i="33" s="1"/>
  <c r="B6" i="93"/>
  <c r="B3" i="116"/>
  <c r="B62" i="33"/>
  <c r="B61" i="33"/>
  <c r="B60" i="33"/>
  <c r="B59" i="33"/>
  <c r="B58" i="33"/>
  <c r="B57" i="33"/>
  <c r="N56" i="33"/>
  <c r="M56" i="33"/>
  <c r="L56" i="33"/>
  <c r="K56" i="33"/>
  <c r="J56" i="33"/>
  <c r="I56" i="33"/>
  <c r="H56" i="33"/>
  <c r="G56" i="33"/>
  <c r="F56" i="33"/>
  <c r="E56" i="33"/>
  <c r="D56" i="33"/>
  <c r="C56" i="33"/>
  <c r="B55" i="33"/>
  <c r="B54" i="33"/>
  <c r="B53" i="33"/>
  <c r="B52" i="33"/>
  <c r="N51" i="33"/>
  <c r="M51" i="33"/>
  <c r="L51" i="33"/>
  <c r="K51" i="33"/>
  <c r="J51" i="33"/>
  <c r="I51" i="33"/>
  <c r="H51" i="33"/>
  <c r="G51" i="33"/>
  <c r="F51" i="33"/>
  <c r="E51" i="33"/>
  <c r="D51" i="33"/>
  <c r="C51" i="33"/>
  <c r="B50" i="33"/>
  <c r="B49" i="33"/>
  <c r="B48" i="33"/>
  <c r="B47" i="33"/>
  <c r="B46" i="33"/>
  <c r="I45" i="33"/>
  <c r="I44" i="33" s="1"/>
  <c r="H45" i="33"/>
  <c r="H44" i="33" s="1"/>
  <c r="G45" i="33"/>
  <c r="G44" i="33" s="1"/>
  <c r="F45" i="33"/>
  <c r="N44" i="33"/>
  <c r="M44" i="33"/>
  <c r="L44" i="33"/>
  <c r="K44" i="33"/>
  <c r="J44" i="33"/>
  <c r="E44" i="33"/>
  <c r="D44" i="33"/>
  <c r="C44" i="33"/>
  <c r="B43" i="33"/>
  <c r="N42" i="33"/>
  <c r="M42" i="33"/>
  <c r="L42" i="33"/>
  <c r="K42" i="33"/>
  <c r="J42" i="33"/>
  <c r="I42" i="33"/>
  <c r="H42" i="33"/>
  <c r="G42" i="33"/>
  <c r="F42" i="33"/>
  <c r="E42" i="33"/>
  <c r="D42" i="33"/>
  <c r="C42" i="33"/>
  <c r="B41" i="33"/>
  <c r="B40" i="33"/>
  <c r="B39" i="33"/>
  <c r="B38" i="33"/>
  <c r="B37" i="33"/>
  <c r="B36" i="33"/>
  <c r="B35" i="33"/>
  <c r="B34" i="33"/>
  <c r="L33" i="33"/>
  <c r="L31" i="33" s="1"/>
  <c r="K33" i="33"/>
  <c r="K31" i="33" s="1"/>
  <c r="J33" i="33"/>
  <c r="J31" i="33" s="1"/>
  <c r="I33" i="33"/>
  <c r="I31" i="33" s="1"/>
  <c r="H33" i="33"/>
  <c r="G33" i="33"/>
  <c r="G31" i="33" s="1"/>
  <c r="F33" i="33"/>
  <c r="F31" i="33" s="1"/>
  <c r="B32" i="33"/>
  <c r="N31" i="33"/>
  <c r="M31" i="33"/>
  <c r="E31" i="33"/>
  <c r="D31" i="33"/>
  <c r="C31" i="33"/>
  <c r="B30" i="33"/>
  <c r="B29" i="33"/>
  <c r="B28" i="33"/>
  <c r="M27" i="33"/>
  <c r="L27" i="33"/>
  <c r="K27" i="33"/>
  <c r="J27" i="33"/>
  <c r="I27" i="33"/>
  <c r="H27" i="33"/>
  <c r="G27" i="33"/>
  <c r="F27" i="33"/>
  <c r="E27" i="33"/>
  <c r="D27" i="33"/>
  <c r="C27" i="33"/>
  <c r="B26" i="33"/>
  <c r="B25" i="33"/>
  <c r="B24" i="33"/>
  <c r="B23" i="33"/>
  <c r="B22" i="33"/>
  <c r="B21" i="33"/>
  <c r="N20" i="33"/>
  <c r="M20" i="33"/>
  <c r="L20" i="33"/>
  <c r="K20" i="33"/>
  <c r="J20" i="33"/>
  <c r="I20" i="33"/>
  <c r="H20" i="33"/>
  <c r="G20" i="33"/>
  <c r="F20" i="33"/>
  <c r="E20" i="33"/>
  <c r="D20" i="33"/>
  <c r="C20" i="33"/>
  <c r="B19" i="33"/>
  <c r="N18" i="33"/>
  <c r="M18" i="33"/>
  <c r="L18" i="33"/>
  <c r="K18" i="33"/>
  <c r="J18" i="33"/>
  <c r="I18" i="33"/>
  <c r="H18" i="33"/>
  <c r="G18" i="33"/>
  <c r="F18" i="33"/>
  <c r="E18" i="33"/>
  <c r="D18" i="33"/>
  <c r="C18" i="33"/>
  <c r="B17" i="33"/>
  <c r="B16" i="33"/>
  <c r="B15" i="33"/>
  <c r="K14" i="33"/>
  <c r="I14" i="33"/>
  <c r="G14" i="33"/>
  <c r="E14" i="33"/>
  <c r="B13" i="33"/>
  <c r="B12" i="33"/>
  <c r="B11" i="33"/>
  <c r="B10" i="33"/>
  <c r="N9" i="33"/>
  <c r="M9" i="33"/>
  <c r="L9" i="33"/>
  <c r="K9" i="33"/>
  <c r="J9" i="33"/>
  <c r="I9" i="33"/>
  <c r="H9" i="33"/>
  <c r="G9" i="33"/>
  <c r="F9" i="33"/>
  <c r="E9" i="33"/>
  <c r="D9" i="33"/>
  <c r="C9" i="33"/>
  <c r="B8" i="33"/>
  <c r="B7" i="33"/>
  <c r="B6" i="33"/>
  <c r="N5" i="33"/>
  <c r="M5" i="33"/>
  <c r="L5" i="33"/>
  <c r="K5" i="33"/>
  <c r="J5" i="33"/>
  <c r="I5" i="33"/>
  <c r="H5" i="33"/>
  <c r="G5" i="33"/>
  <c r="F5" i="33"/>
  <c r="E5" i="33"/>
  <c r="D5" i="33"/>
  <c r="C5" i="33"/>
  <c r="B4" i="33"/>
  <c r="B2" i="31"/>
  <c r="B2" i="30"/>
  <c r="B12" i="28"/>
  <c r="B33" i="28"/>
  <c r="B15" i="28" s="1"/>
  <c r="C17" i="28"/>
  <c r="A10" i="28"/>
  <c r="B2" i="29"/>
  <c r="G9" i="25"/>
  <c r="O10" i="141" s="1"/>
  <c r="B2" i="25"/>
  <c r="B2" i="23"/>
  <c r="B2" i="22"/>
  <c r="C12" i="21"/>
  <c r="B2" i="21"/>
  <c r="O68" i="1"/>
  <c r="N68" i="1"/>
  <c r="M68" i="1"/>
  <c r="L68" i="1"/>
  <c r="K68" i="1"/>
  <c r="J68" i="1"/>
  <c r="I68" i="1"/>
  <c r="H68" i="1"/>
  <c r="G68" i="1"/>
  <c r="F68" i="1"/>
  <c r="E68" i="1"/>
  <c r="D68" i="1"/>
  <c r="M67" i="1"/>
  <c r="L67" i="1"/>
  <c r="F67" i="1"/>
  <c r="E67" i="1"/>
  <c r="B67" i="1"/>
  <c r="O66" i="1"/>
  <c r="N66" i="1"/>
  <c r="M66" i="1"/>
  <c r="L66" i="1"/>
  <c r="K66" i="1"/>
  <c r="J66" i="1"/>
  <c r="I66" i="1"/>
  <c r="H66" i="1"/>
  <c r="G66" i="1"/>
  <c r="F66" i="1"/>
  <c r="E66" i="1"/>
  <c r="D66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L64" i="1"/>
  <c r="K64" i="1"/>
  <c r="H64" i="1"/>
  <c r="G64" i="1"/>
  <c r="D64" i="1"/>
  <c r="B63" i="1"/>
  <c r="D62" i="1"/>
  <c r="C62" i="1" s="1"/>
  <c r="B62" i="1"/>
  <c r="O61" i="1"/>
  <c r="N61" i="1"/>
  <c r="K61" i="1"/>
  <c r="J61" i="1"/>
  <c r="H61" i="1"/>
  <c r="B61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G59" i="1"/>
  <c r="B59" i="1"/>
  <c r="B58" i="1"/>
  <c r="N57" i="1"/>
  <c r="M57" i="1"/>
  <c r="L57" i="1"/>
  <c r="K57" i="1"/>
  <c r="H57" i="1"/>
  <c r="G57" i="1"/>
  <c r="E57" i="1"/>
  <c r="D57" i="1"/>
  <c r="B57" i="1"/>
  <c r="D56" i="1"/>
  <c r="B56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N54" i="1"/>
  <c r="K54" i="1"/>
  <c r="B54" i="1"/>
  <c r="B53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B48" i="1"/>
  <c r="B46" i="1"/>
  <c r="B45" i="1"/>
  <c r="B44" i="1"/>
  <c r="B43" i="1"/>
  <c r="B42" i="1"/>
  <c r="B41" i="1"/>
  <c r="B40" i="1"/>
  <c r="M39" i="1"/>
  <c r="L39" i="1"/>
  <c r="K39" i="1"/>
  <c r="J39" i="1"/>
  <c r="I39" i="1"/>
  <c r="H39" i="1"/>
  <c r="G39" i="1"/>
  <c r="F39" i="1"/>
  <c r="E39" i="1"/>
  <c r="B39" i="1"/>
  <c r="O38" i="1"/>
  <c r="O37" i="1" s="1"/>
  <c r="N38" i="1"/>
  <c r="F38" i="1"/>
  <c r="E38" i="1"/>
  <c r="D38" i="1"/>
  <c r="B38" i="1"/>
  <c r="B37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O35" i="1"/>
  <c r="N35" i="1"/>
  <c r="M35" i="1"/>
  <c r="L35" i="1"/>
  <c r="K35" i="1"/>
  <c r="J35" i="1"/>
  <c r="I35" i="1"/>
  <c r="H35" i="1"/>
  <c r="G35" i="1"/>
  <c r="F35" i="1"/>
  <c r="E35" i="1"/>
  <c r="D35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B33" i="1"/>
  <c r="O32" i="1"/>
  <c r="N32" i="1"/>
  <c r="M32" i="1"/>
  <c r="K32" i="1"/>
  <c r="J32" i="1"/>
  <c r="I32" i="1"/>
  <c r="G32" i="1"/>
  <c r="F32" i="1"/>
  <c r="E32" i="1"/>
  <c r="B32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B29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M26" i="1"/>
  <c r="I26" i="1"/>
  <c r="E26" i="1"/>
  <c r="B26" i="1"/>
  <c r="B25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G23" i="1"/>
  <c r="B23" i="1"/>
  <c r="O22" i="1"/>
  <c r="H22" i="1"/>
  <c r="F22" i="1"/>
  <c r="B22" i="1"/>
  <c r="B19" i="1"/>
  <c r="O10" i="1"/>
  <c r="N10" i="1"/>
  <c r="M10" i="1"/>
  <c r="L10" i="1"/>
  <c r="K10" i="1"/>
  <c r="J10" i="1"/>
  <c r="I10" i="1"/>
  <c r="H10" i="1"/>
  <c r="G10" i="1"/>
  <c r="F10" i="1"/>
  <c r="E10" i="1"/>
  <c r="D32" i="1"/>
  <c r="H32" i="1"/>
  <c r="L32" i="1"/>
  <c r="N22" i="1"/>
  <c r="F44" i="33"/>
  <c r="N25" i="1"/>
  <c r="E26" i="141"/>
  <c r="M26" i="141"/>
  <c r="U26" i="141"/>
  <c r="K45" i="141"/>
  <c r="I38" i="1"/>
  <c r="S68" i="141"/>
  <c r="E47" i="1"/>
  <c r="M22" i="1"/>
  <c r="H29" i="1"/>
  <c r="U23" i="141"/>
  <c r="J22" i="1"/>
  <c r="E22" i="1"/>
  <c r="I22" i="1"/>
  <c r="B8" i="81"/>
  <c r="K23" i="141"/>
  <c r="E23" i="141"/>
  <c r="D38" i="141"/>
  <c r="AB34" i="141"/>
  <c r="AB44" i="141"/>
  <c r="Z44" i="141"/>
  <c r="Z20" i="141"/>
  <c r="J20" i="141"/>
  <c r="R34" i="141"/>
  <c r="L38" i="1"/>
  <c r="N59" i="1"/>
  <c r="K38" i="1" l="1"/>
  <c r="L50" i="1"/>
  <c r="K3" i="33"/>
  <c r="N13" i="1"/>
  <c r="E81" i="141"/>
  <c r="G54" i="1"/>
  <c r="G53" i="1" s="1"/>
  <c r="N67" i="1"/>
  <c r="G67" i="1"/>
  <c r="U54" i="141"/>
  <c r="G46" i="141"/>
  <c r="B56" i="33"/>
  <c r="I59" i="1"/>
  <c r="I58" i="1" s="1"/>
  <c r="M54" i="1"/>
  <c r="M53" i="1" s="1"/>
  <c r="E54" i="1"/>
  <c r="E53" i="1" s="1"/>
  <c r="F47" i="1"/>
  <c r="H26" i="1"/>
  <c r="AA27" i="141"/>
  <c r="C27" i="141" s="1"/>
  <c r="H54" i="1"/>
  <c r="H53" i="1" s="1"/>
  <c r="U63" i="141"/>
  <c r="J67" i="1"/>
  <c r="C6" i="141"/>
  <c r="C7" i="1"/>
  <c r="J13" i="1"/>
  <c r="B5" i="33"/>
  <c r="F57" i="1"/>
  <c r="L59" i="1"/>
  <c r="L58" i="1" s="1"/>
  <c r="I67" i="1"/>
  <c r="Y30" i="141"/>
  <c r="K67" i="1"/>
  <c r="K63" i="1" s="1"/>
  <c r="D42" i="1"/>
  <c r="D40" i="1" s="1"/>
  <c r="J26" i="1"/>
  <c r="J57" i="1"/>
  <c r="J53" i="1" s="1"/>
  <c r="G61" i="1"/>
  <c r="J30" i="1"/>
  <c r="I68" i="141"/>
  <c r="W68" i="141"/>
  <c r="W67" i="141" s="1"/>
  <c r="L11" i="1"/>
  <c r="M11" i="1"/>
  <c r="L26" i="1"/>
  <c r="D26" i="1"/>
  <c r="L60" i="79"/>
  <c r="N21" i="1" s="1"/>
  <c r="H60" i="79"/>
  <c r="J21" i="1" s="1"/>
  <c r="D60" i="79"/>
  <c r="F21" i="1" s="1"/>
  <c r="M60" i="79"/>
  <c r="O21" i="1" s="1"/>
  <c r="I60" i="79"/>
  <c r="K21" i="1" s="1"/>
  <c r="E60" i="79"/>
  <c r="G21" i="1" s="1"/>
  <c r="J60" i="79"/>
  <c r="L21" i="1" s="1"/>
  <c r="F60" i="79"/>
  <c r="H21" i="1" s="1"/>
  <c r="K60" i="79"/>
  <c r="M21" i="1" s="1"/>
  <c r="G60" i="79"/>
  <c r="I21" i="1" s="1"/>
  <c r="C60" i="79"/>
  <c r="E21" i="1" s="1"/>
  <c r="B60" i="79"/>
  <c r="D21" i="1" s="1"/>
  <c r="M7" i="79"/>
  <c r="O20" i="1" s="1"/>
  <c r="I7" i="79"/>
  <c r="K20" i="1" s="1"/>
  <c r="E7" i="79"/>
  <c r="K21" i="141" s="1"/>
  <c r="F7" i="79"/>
  <c r="H20" i="1" s="1"/>
  <c r="K7" i="79"/>
  <c r="M20" i="1" s="1"/>
  <c r="G7" i="79"/>
  <c r="I20" i="1" s="1"/>
  <c r="C7" i="79"/>
  <c r="E20" i="1" s="1"/>
  <c r="J7" i="79"/>
  <c r="L20" i="1" s="1"/>
  <c r="L7" i="79"/>
  <c r="N20" i="1" s="1"/>
  <c r="H7" i="79"/>
  <c r="J20" i="1" s="1"/>
  <c r="D7" i="79"/>
  <c r="F20" i="1" s="1"/>
  <c r="B7" i="79"/>
  <c r="D20" i="1" s="1"/>
  <c r="K37" i="1"/>
  <c r="D59" i="1"/>
  <c r="D58" i="1" s="1"/>
  <c r="U56" i="141"/>
  <c r="H3" i="33"/>
  <c r="N3" i="33"/>
  <c r="N73" i="33" s="1"/>
  <c r="B42" i="33"/>
  <c r="H13" i="1"/>
  <c r="L61" i="1"/>
  <c r="D61" i="1"/>
  <c r="G37" i="1"/>
  <c r="E54" i="141"/>
  <c r="K29" i="1"/>
  <c r="G29" i="1"/>
  <c r="J25" i="1"/>
  <c r="F25" i="1"/>
  <c r="O59" i="1"/>
  <c r="O58" i="1" s="1"/>
  <c r="B3" i="114"/>
  <c r="O64" i="1"/>
  <c r="B6" i="91"/>
  <c r="M41" i="141"/>
  <c r="M40" i="141" s="1"/>
  <c r="AA73" i="141"/>
  <c r="Y10" i="141"/>
  <c r="M9" i="26"/>
  <c r="M10" i="26" s="1"/>
  <c r="O12" i="1" s="1"/>
  <c r="G9" i="26"/>
  <c r="G10" i="26" s="1"/>
  <c r="I12" i="1" s="1"/>
  <c r="L9" i="26"/>
  <c r="L10" i="26" s="1"/>
  <c r="N12" i="1" s="1"/>
  <c r="F9" i="26"/>
  <c r="F10" i="26" s="1"/>
  <c r="H12" i="1" s="1"/>
  <c r="K9" i="26"/>
  <c r="K10" i="26" s="1"/>
  <c r="M12" i="1" s="1"/>
  <c r="E9" i="26"/>
  <c r="E10" i="26" s="1"/>
  <c r="G12" i="1" s="1"/>
  <c r="J9" i="26"/>
  <c r="J10" i="26" s="1"/>
  <c r="L12" i="1" s="1"/>
  <c r="D9" i="26"/>
  <c r="D10" i="26" s="1"/>
  <c r="F12" i="1" s="1"/>
  <c r="I9" i="26"/>
  <c r="I10" i="26" s="1"/>
  <c r="K12" i="1" s="1"/>
  <c r="C9" i="26"/>
  <c r="C10" i="26" s="1"/>
  <c r="E12" i="1" s="1"/>
  <c r="H9" i="26"/>
  <c r="H10" i="26" s="1"/>
  <c r="J12" i="1" s="1"/>
  <c r="B9" i="26"/>
  <c r="B10" i="26" s="1"/>
  <c r="D12" i="1" s="1"/>
  <c r="E45" i="141"/>
  <c r="E44" i="141" s="1"/>
  <c r="B9" i="84"/>
  <c r="O54" i="1"/>
  <c r="G58" i="1"/>
  <c r="I47" i="1"/>
  <c r="G25" i="1"/>
  <c r="E30" i="1"/>
  <c r="AA54" i="141"/>
  <c r="Y40" i="141"/>
  <c r="B3" i="125"/>
  <c r="B33" i="33"/>
  <c r="O73" i="141"/>
  <c r="U31" i="141"/>
  <c r="Y54" i="141"/>
  <c r="M68" i="141"/>
  <c r="M67" i="141" s="1"/>
  <c r="F3" i="33"/>
  <c r="F73" i="33" s="1"/>
  <c r="L3" i="33"/>
  <c r="L73" i="33" s="1"/>
  <c r="C3" i="33"/>
  <c r="C73" i="33" s="1"/>
  <c r="I3" i="33"/>
  <c r="I73" i="33" s="1"/>
  <c r="B27" i="33"/>
  <c r="S31" i="141"/>
  <c r="I71" i="141"/>
  <c r="M25" i="1"/>
  <c r="G3" i="33"/>
  <c r="M3" i="33"/>
  <c r="M73" i="33" s="1"/>
  <c r="B14" i="33"/>
  <c r="J11" i="1"/>
  <c r="F11" i="1"/>
  <c r="X19" i="141"/>
  <c r="K11" i="1"/>
  <c r="D11" i="1"/>
  <c r="N11" i="1"/>
  <c r="K10" i="141"/>
  <c r="G10" i="141"/>
  <c r="W10" i="141"/>
  <c r="M10" i="141"/>
  <c r="O11" i="1"/>
  <c r="E10" i="141"/>
  <c r="Q10" i="141"/>
  <c r="C11" i="1"/>
  <c r="I11" i="1"/>
  <c r="I10" i="141"/>
  <c r="U10" i="141"/>
  <c r="S10" i="141"/>
  <c r="H11" i="1"/>
  <c r="C10" i="141"/>
  <c r="AA10" i="141"/>
  <c r="G11" i="1"/>
  <c r="E11" i="1"/>
  <c r="D56" i="141"/>
  <c r="U62" i="141"/>
  <c r="Y62" i="141"/>
  <c r="Y67" i="141"/>
  <c r="L19" i="141"/>
  <c r="M6" i="96"/>
  <c r="Y36" i="141" s="1"/>
  <c r="Y34" i="141" s="1"/>
  <c r="I6" i="96"/>
  <c r="J33" i="1" s="1"/>
  <c r="J6" i="96"/>
  <c r="S36" i="141" s="1"/>
  <c r="S34" i="141" s="1"/>
  <c r="E67" i="141"/>
  <c r="B18" i="33"/>
  <c r="B20" i="33"/>
  <c r="B45" i="33"/>
  <c r="B44" i="33" s="1"/>
  <c r="K41" i="141"/>
  <c r="K40" i="141" s="1"/>
  <c r="S40" i="141"/>
  <c r="C82" i="141"/>
  <c r="C76" i="141"/>
  <c r="K73" i="33"/>
  <c r="B3" i="127"/>
  <c r="B3" i="132"/>
  <c r="Q73" i="141"/>
  <c r="W54" i="141"/>
  <c r="W71" i="141"/>
  <c r="B3" i="128"/>
  <c r="A16" i="31"/>
  <c r="E41" i="1"/>
  <c r="E40" i="1" s="1"/>
  <c r="H47" i="1"/>
  <c r="C79" i="141"/>
  <c r="AA67" i="141"/>
  <c r="D40" i="141"/>
  <c r="T19" i="141"/>
  <c r="M29" i="1"/>
  <c r="B51" i="33"/>
  <c r="F41" i="1"/>
  <c r="K73" i="141"/>
  <c r="M66" i="141"/>
  <c r="C66" i="141" s="1"/>
  <c r="N50" i="1"/>
  <c r="N48" i="1" s="1"/>
  <c r="B3" i="108"/>
  <c r="C55" i="141"/>
  <c r="C57" i="141"/>
  <c r="D77" i="141"/>
  <c r="N19" i="141"/>
  <c r="B3" i="135"/>
  <c r="C42" i="141"/>
  <c r="K62" i="141"/>
  <c r="S62" i="141"/>
  <c r="D73" i="141"/>
  <c r="J19" i="141"/>
  <c r="E73" i="141"/>
  <c r="W73" i="141"/>
  <c r="S73" i="141"/>
  <c r="C25" i="141"/>
  <c r="I29" i="1"/>
  <c r="E29" i="1"/>
  <c r="J29" i="1"/>
  <c r="S23" i="141"/>
  <c r="C23" i="141" s="1"/>
  <c r="C35" i="141"/>
  <c r="C75" i="141"/>
  <c r="C64" i="141"/>
  <c r="F19" i="141"/>
  <c r="C47" i="141"/>
  <c r="G56" i="141"/>
  <c r="C14" i="141"/>
  <c r="C15" i="141"/>
  <c r="C48" i="141"/>
  <c r="AA40" i="141"/>
  <c r="U40" i="141"/>
  <c r="I40" i="141"/>
  <c r="E40" i="141"/>
  <c r="C83" i="141"/>
  <c r="AA62" i="141"/>
  <c r="D67" i="141"/>
  <c r="P19" i="141"/>
  <c r="C33" i="141"/>
  <c r="AB19" i="141"/>
  <c r="U67" i="141"/>
  <c r="N37" i="1"/>
  <c r="M40" i="1"/>
  <c r="C37" i="141"/>
  <c r="D29" i="1"/>
  <c r="C28" i="141"/>
  <c r="B7" i="85"/>
  <c r="K26" i="1"/>
  <c r="G26" i="1"/>
  <c r="F26" i="1"/>
  <c r="D20" i="141"/>
  <c r="C29" i="141"/>
  <c r="C59" i="141"/>
  <c r="D62" i="141"/>
  <c r="G73" i="141"/>
  <c r="M73" i="141"/>
  <c r="Y73" i="141"/>
  <c r="S77" i="141"/>
  <c r="C65" i="141"/>
  <c r="H19" i="141"/>
  <c r="W62" i="141"/>
  <c r="C56" i="1"/>
  <c r="G62" i="141"/>
  <c r="Q77" i="141"/>
  <c r="C32" i="141"/>
  <c r="I73" i="141"/>
  <c r="U73" i="141"/>
  <c r="C9" i="141"/>
  <c r="C50" i="141"/>
  <c r="Q40" i="141"/>
  <c r="G40" i="141"/>
  <c r="C80" i="141"/>
  <c r="E77" i="141"/>
  <c r="V19" i="141"/>
  <c r="C38" i="141"/>
  <c r="N56" i="79"/>
  <c r="B8" i="89"/>
  <c r="F29" i="1"/>
  <c r="U30" i="141"/>
  <c r="O29" i="1"/>
  <c r="N58" i="1"/>
  <c r="L13" i="1"/>
  <c r="O13" i="1"/>
  <c r="K13" i="1"/>
  <c r="I30" i="1"/>
  <c r="W41" i="141"/>
  <c r="W40" i="141" s="1"/>
  <c r="M38" i="1"/>
  <c r="M37" i="1" s="1"/>
  <c r="B3" i="101"/>
  <c r="H31" i="33"/>
  <c r="B31" i="33" s="1"/>
  <c r="J3" i="33"/>
  <c r="J73" i="33" s="1"/>
  <c r="G73" i="33"/>
  <c r="D53" i="1"/>
  <c r="L37" i="1"/>
  <c r="C66" i="1"/>
  <c r="AA77" i="141"/>
  <c r="D34" i="141"/>
  <c r="R19" i="141"/>
  <c r="C74" i="141"/>
  <c r="B9" i="33"/>
  <c r="C53" i="141"/>
  <c r="C31" i="1"/>
  <c r="K53" i="1"/>
  <c r="S54" i="141"/>
  <c r="C43" i="141"/>
  <c r="M81" i="141"/>
  <c r="K67" i="141"/>
  <c r="K25" i="1"/>
  <c r="G26" i="141"/>
  <c r="C26" i="141" s="1"/>
  <c r="O67" i="141"/>
  <c r="O62" i="141"/>
  <c r="O77" i="141"/>
  <c r="B67" i="33"/>
  <c r="H37" i="1"/>
  <c r="O30" i="1"/>
  <c r="H30" i="1"/>
  <c r="L41" i="1"/>
  <c r="C39" i="141"/>
  <c r="C60" i="141"/>
  <c r="K77" i="141"/>
  <c r="Q72" i="141"/>
  <c r="C72" i="141" s="1"/>
  <c r="E63" i="141"/>
  <c r="E62" i="141" s="1"/>
  <c r="Q56" i="141"/>
  <c r="H58" i="1"/>
  <c r="Y77" i="141"/>
  <c r="L53" i="1"/>
  <c r="D63" i="1"/>
  <c r="Z19" i="141"/>
  <c r="J38" i="1"/>
  <c r="D37" i="1"/>
  <c r="I57" i="1"/>
  <c r="O57" i="1"/>
  <c r="H63" i="1"/>
  <c r="O67" i="1"/>
  <c r="I54" i="1"/>
  <c r="N30" i="1"/>
  <c r="G30" i="1"/>
  <c r="O71" i="141"/>
  <c r="I69" i="141"/>
  <c r="C69" i="141" s="1"/>
  <c r="E50" i="1"/>
  <c r="E48" i="1" s="1"/>
  <c r="W77" i="141"/>
  <c r="D3" i="33"/>
  <c r="D73" i="33" s="1"/>
  <c r="E61" i="141"/>
  <c r="C61" i="141" s="1"/>
  <c r="B3" i="138"/>
  <c r="B3" i="133"/>
  <c r="F50" i="1"/>
  <c r="F48" i="1" s="1"/>
  <c r="F58" i="1"/>
  <c r="U77" i="141"/>
  <c r="I77" i="141"/>
  <c r="E3" i="33"/>
  <c r="E73" i="33" s="1"/>
  <c r="K47" i="1"/>
  <c r="Q68" i="141"/>
  <c r="Q67" i="141" s="1"/>
  <c r="O40" i="141"/>
  <c r="E63" i="1"/>
  <c r="B3" i="130"/>
  <c r="I64" i="1"/>
  <c r="G78" i="141"/>
  <c r="G77" i="141" s="1"/>
  <c r="N64" i="1"/>
  <c r="J64" i="1"/>
  <c r="M64" i="1"/>
  <c r="M63" i="1" s="1"/>
  <c r="C52" i="141"/>
  <c r="F64" i="1"/>
  <c r="F63" i="1" s="1"/>
  <c r="C70" i="141"/>
  <c r="B3" i="126"/>
  <c r="G68" i="141"/>
  <c r="G67" i="141" s="1"/>
  <c r="S67" i="141"/>
  <c r="K58" i="1"/>
  <c r="E59" i="1"/>
  <c r="E58" i="1" s="1"/>
  <c r="Q63" i="141"/>
  <c r="Q62" i="141" s="1"/>
  <c r="B3" i="122"/>
  <c r="F54" i="1"/>
  <c r="I63" i="141"/>
  <c r="C51" i="141"/>
  <c r="C49" i="141"/>
  <c r="M46" i="141"/>
  <c r="M44" i="141" s="1"/>
  <c r="H42" i="1"/>
  <c r="O42" i="1"/>
  <c r="O40" i="1" s="1"/>
  <c r="AA46" i="141"/>
  <c r="AA44" i="141" s="1"/>
  <c r="K42" i="1"/>
  <c r="S46" i="141"/>
  <c r="S44" i="141" s="1"/>
  <c r="Y46" i="141"/>
  <c r="Y44" i="141" s="1"/>
  <c r="N42" i="1"/>
  <c r="N40" i="1" s="1"/>
  <c r="L42" i="1"/>
  <c r="U46" i="141"/>
  <c r="U44" i="141" s="1"/>
  <c r="S58" i="141"/>
  <c r="S56" i="141" s="1"/>
  <c r="H50" i="1"/>
  <c r="H48" i="1" s="1"/>
  <c r="J50" i="1"/>
  <c r="J48" i="1" s="1"/>
  <c r="AA58" i="141"/>
  <c r="AA56" i="141" s="1"/>
  <c r="K58" i="141"/>
  <c r="K56" i="141" s="1"/>
  <c r="B3" i="117"/>
  <c r="Y56" i="141"/>
  <c r="K48" i="1"/>
  <c r="I48" i="1"/>
  <c r="M56" i="141"/>
  <c r="I56" i="141"/>
  <c r="C51" i="1"/>
  <c r="B7" i="90"/>
  <c r="M30" i="1"/>
  <c r="F30" i="1"/>
  <c r="N23" i="1"/>
  <c r="Y24" i="141"/>
  <c r="G44" i="141"/>
  <c r="H23" i="1"/>
  <c r="M23" i="1"/>
  <c r="W24" i="141"/>
  <c r="E37" i="1"/>
  <c r="C39" i="1"/>
  <c r="C22" i="1"/>
  <c r="I23" i="1"/>
  <c r="O23" i="1"/>
  <c r="C32" i="1"/>
  <c r="C35" i="1"/>
  <c r="C36" i="1"/>
  <c r="I37" i="1"/>
  <c r="M48" i="1"/>
  <c r="S24" i="141"/>
  <c r="K23" i="1"/>
  <c r="E23" i="1"/>
  <c r="G24" i="141"/>
  <c r="F42" i="1"/>
  <c r="I46" i="141"/>
  <c r="I44" i="141" s="1"/>
  <c r="L23" i="1"/>
  <c r="U24" i="141"/>
  <c r="G42" i="1"/>
  <c r="G40" i="1" s="1"/>
  <c r="K46" i="141"/>
  <c r="K44" i="141" s="1"/>
  <c r="D44" i="141"/>
  <c r="C27" i="1"/>
  <c r="C28" i="1"/>
  <c r="G48" i="1"/>
  <c r="C52" i="1"/>
  <c r="C55" i="1"/>
  <c r="C12" i="141"/>
  <c r="C43" i="1"/>
  <c r="C10" i="1"/>
  <c r="C46" i="1"/>
  <c r="O58" i="141"/>
  <c r="O56" i="141" s="1"/>
  <c r="E58" i="141"/>
  <c r="W58" i="141"/>
  <c r="W56" i="141" s="1"/>
  <c r="K34" i="141"/>
  <c r="C60" i="1"/>
  <c r="C65" i="1"/>
  <c r="C49" i="1"/>
  <c r="O48" i="1"/>
  <c r="C24" i="1"/>
  <c r="F37" i="1"/>
  <c r="N53" i="1"/>
  <c r="L63" i="1"/>
  <c r="M58" i="1"/>
  <c r="J58" i="1"/>
  <c r="G63" i="1"/>
  <c r="C68" i="1"/>
  <c r="B64" i="33"/>
  <c r="B63" i="33" s="1"/>
  <c r="O44" i="141"/>
  <c r="F33" i="1"/>
  <c r="C45" i="1"/>
  <c r="C44" i="1"/>
  <c r="L48" i="1"/>
  <c r="M13" i="1"/>
  <c r="I13" i="1"/>
  <c r="N18" i="29"/>
  <c r="Q46" i="141"/>
  <c r="Q44" i="141" s="1"/>
  <c r="J42" i="1"/>
  <c r="J40" i="1" s="1"/>
  <c r="B3" i="105"/>
  <c r="W46" i="141"/>
  <c r="W44" i="141" s="1"/>
  <c r="I42" i="1"/>
  <c r="Q24" i="141"/>
  <c r="I24" i="141"/>
  <c r="B5" i="82"/>
  <c r="E24" i="141"/>
  <c r="B17" i="28"/>
  <c r="O14" i="1" s="1"/>
  <c r="S8" i="141"/>
  <c r="AA8" i="141"/>
  <c r="AA11" i="141" s="1"/>
  <c r="Y8" i="141"/>
  <c r="U8" i="141"/>
  <c r="E8" i="141"/>
  <c r="G8" i="141"/>
  <c r="W8" i="141"/>
  <c r="I8" i="141"/>
  <c r="K8" i="141"/>
  <c r="M8" i="141"/>
  <c r="Q8" i="141"/>
  <c r="O8" i="141"/>
  <c r="O11" i="141" s="1"/>
  <c r="N8" i="79"/>
  <c r="N22" i="79"/>
  <c r="N31" i="79"/>
  <c r="N25" i="79"/>
  <c r="AA36" i="141"/>
  <c r="AA34" i="141" s="1"/>
  <c r="O33" i="1"/>
  <c r="N37" i="79"/>
  <c r="G33" i="1"/>
  <c r="W36" i="141"/>
  <c r="W34" i="141" s="1"/>
  <c r="M33" i="1"/>
  <c r="E33" i="1"/>
  <c r="G36" i="141"/>
  <c r="G34" i="141" s="1"/>
  <c r="O36" i="141"/>
  <c r="O34" i="141" s="1"/>
  <c r="I33" i="1"/>
  <c r="L33" i="1"/>
  <c r="U36" i="141"/>
  <c r="U34" i="141" s="1"/>
  <c r="H33" i="1"/>
  <c r="M36" i="141"/>
  <c r="M34" i="141" s="1"/>
  <c r="I36" i="141"/>
  <c r="I34" i="141" s="1"/>
  <c r="E36" i="141"/>
  <c r="D33" i="1"/>
  <c r="C34" i="1"/>
  <c r="D48" i="1"/>
  <c r="N63" i="1" l="1"/>
  <c r="U11" i="141"/>
  <c r="I63" i="1"/>
  <c r="F53" i="1"/>
  <c r="C30" i="141"/>
  <c r="J63" i="1"/>
  <c r="C31" i="141"/>
  <c r="W11" i="141"/>
  <c r="Y11" i="141"/>
  <c r="L6" i="80"/>
  <c r="W22" i="141" s="1"/>
  <c r="N60" i="79"/>
  <c r="H6" i="80"/>
  <c r="O22" i="141" s="1"/>
  <c r="K33" i="1"/>
  <c r="G20" i="1"/>
  <c r="G19" i="1" s="1"/>
  <c r="G18" i="1" s="1"/>
  <c r="S21" i="141"/>
  <c r="AA21" i="141"/>
  <c r="N7" i="79"/>
  <c r="O53" i="1"/>
  <c r="F40" i="1"/>
  <c r="O63" i="1"/>
  <c r="C45" i="141"/>
  <c r="S11" i="141"/>
  <c r="N33" i="1"/>
  <c r="I6" i="80"/>
  <c r="Q22" i="141" s="1"/>
  <c r="M6" i="80"/>
  <c r="Y22" i="141" s="1"/>
  <c r="G6" i="80"/>
  <c r="M22" i="141" s="1"/>
  <c r="D6" i="80"/>
  <c r="G22" i="141" s="1"/>
  <c r="C61" i="1"/>
  <c r="C25" i="1"/>
  <c r="I40" i="1"/>
  <c r="C41" i="1"/>
  <c r="C6" i="80"/>
  <c r="E22" i="141" s="1"/>
  <c r="Q11" i="141"/>
  <c r="H73" i="33"/>
  <c r="K6" i="80"/>
  <c r="U22" i="141" s="1"/>
  <c r="K11" i="141"/>
  <c r="O15" i="1"/>
  <c r="M62" i="141"/>
  <c r="B6" i="96"/>
  <c r="Q36" i="141"/>
  <c r="Q34" i="141" s="1"/>
  <c r="G11" i="141"/>
  <c r="I11" i="141"/>
  <c r="M11" i="141"/>
  <c r="C71" i="141"/>
  <c r="E6" i="80"/>
  <c r="I22" i="141" s="1"/>
  <c r="F6" i="80"/>
  <c r="H40" i="1"/>
  <c r="L40" i="1"/>
  <c r="C40" i="141"/>
  <c r="C47" i="1"/>
  <c r="N6" i="80"/>
  <c r="AA22" i="141" s="1"/>
  <c r="J6" i="80"/>
  <c r="S22" i="141" s="1"/>
  <c r="B3" i="33"/>
  <c r="B73" i="33" s="1"/>
  <c r="C54" i="141"/>
  <c r="K40" i="1"/>
  <c r="C38" i="1"/>
  <c r="C78" i="141"/>
  <c r="I67" i="141"/>
  <c r="C67" i="141" s="1"/>
  <c r="C57" i="1"/>
  <c r="C29" i="1"/>
  <c r="C26" i="1"/>
  <c r="I53" i="1"/>
  <c r="D19" i="141"/>
  <c r="C73" i="141"/>
  <c r="J37" i="1"/>
  <c r="C37" i="1" s="1"/>
  <c r="C30" i="1"/>
  <c r="C67" i="1"/>
  <c r="C59" i="1"/>
  <c r="C41" i="141"/>
  <c r="C58" i="1"/>
  <c r="C64" i="1"/>
  <c r="C23" i="1"/>
  <c r="M77" i="141"/>
  <c r="C77" i="141" s="1"/>
  <c r="C81" i="141"/>
  <c r="C13" i="1"/>
  <c r="C68" i="141"/>
  <c r="C54" i="1"/>
  <c r="C63" i="141"/>
  <c r="I62" i="141"/>
  <c r="C50" i="1"/>
  <c r="O21" i="141"/>
  <c r="M13" i="141"/>
  <c r="K13" i="141"/>
  <c r="C58" i="141"/>
  <c r="E56" i="141"/>
  <c r="C56" i="141" s="1"/>
  <c r="W21" i="141"/>
  <c r="Q13" i="141"/>
  <c r="K19" i="1"/>
  <c r="O13" i="141"/>
  <c r="O16" i="141" s="1"/>
  <c r="E19" i="1"/>
  <c r="E18" i="1" s="1"/>
  <c r="H14" i="1"/>
  <c r="F14" i="1"/>
  <c r="F15" i="1" s="1"/>
  <c r="C42" i="1"/>
  <c r="C44" i="141"/>
  <c r="C46" i="141"/>
  <c r="C24" i="141"/>
  <c r="AA13" i="141"/>
  <c r="AA16" i="141" s="1"/>
  <c r="E14" i="1"/>
  <c r="M14" i="1"/>
  <c r="S13" i="141"/>
  <c r="E13" i="141"/>
  <c r="Y13" i="141"/>
  <c r="J14" i="1"/>
  <c r="J15" i="1" s="1"/>
  <c r="I13" i="141"/>
  <c r="L14" i="1"/>
  <c r="L15" i="1" s="1"/>
  <c r="U13" i="141"/>
  <c r="U16" i="141" s="1"/>
  <c r="G14" i="1"/>
  <c r="G15" i="1" s="1"/>
  <c r="N14" i="1"/>
  <c r="N15" i="1" s="1"/>
  <c r="D14" i="1"/>
  <c r="D15" i="1" s="1"/>
  <c r="K14" i="1"/>
  <c r="K15" i="1" s="1"/>
  <c r="G13" i="141"/>
  <c r="W13" i="141"/>
  <c r="I14" i="1"/>
  <c r="I15" i="1" s="1"/>
  <c r="E11" i="141"/>
  <c r="C8" i="141"/>
  <c r="C9" i="1"/>
  <c r="G21" i="141"/>
  <c r="M19" i="1"/>
  <c r="M18" i="1" s="1"/>
  <c r="O19" i="1"/>
  <c r="E34" i="141"/>
  <c r="U21" i="141"/>
  <c r="L19" i="1"/>
  <c r="Q21" i="141"/>
  <c r="M21" i="141"/>
  <c r="H19" i="1"/>
  <c r="E21" i="141"/>
  <c r="F19" i="1"/>
  <c r="I21" i="141"/>
  <c r="N19" i="1"/>
  <c r="Y21" i="141"/>
  <c r="C48" i="1"/>
  <c r="C63" i="1" l="1"/>
  <c r="C33" i="1"/>
  <c r="W16" i="141"/>
  <c r="C62" i="141"/>
  <c r="Y16" i="141"/>
  <c r="AA20" i="141"/>
  <c r="AA19" i="141" s="1"/>
  <c r="AA86" i="141" s="1"/>
  <c r="S20" i="141"/>
  <c r="S19" i="141" s="1"/>
  <c r="F18" i="1"/>
  <c r="F70" i="1" s="1"/>
  <c r="C53" i="1"/>
  <c r="O18" i="1"/>
  <c r="O70" i="1" s="1"/>
  <c r="S16" i="141"/>
  <c r="N18" i="1"/>
  <c r="N70" i="1" s="1"/>
  <c r="K16" i="141"/>
  <c r="I16" i="141"/>
  <c r="C34" i="141"/>
  <c r="H15" i="1"/>
  <c r="Q16" i="141"/>
  <c r="C36" i="141"/>
  <c r="B6" i="80"/>
  <c r="C12" i="1"/>
  <c r="E15" i="1"/>
  <c r="E70" i="1" s="1"/>
  <c r="K22" i="141"/>
  <c r="K20" i="141" s="1"/>
  <c r="K19" i="141" s="1"/>
  <c r="G16" i="141"/>
  <c r="M16" i="141"/>
  <c r="L18" i="1"/>
  <c r="L70" i="1" s="1"/>
  <c r="H18" i="1"/>
  <c r="K18" i="1"/>
  <c r="K70" i="1" s="1"/>
  <c r="O20" i="141"/>
  <c r="O19" i="141" s="1"/>
  <c r="O86" i="141" s="1"/>
  <c r="M20" i="141"/>
  <c r="M19" i="141" s="1"/>
  <c r="W20" i="141"/>
  <c r="W19" i="141" s="1"/>
  <c r="Q20" i="141"/>
  <c r="Q19" i="141" s="1"/>
  <c r="C40" i="1"/>
  <c r="M15" i="1"/>
  <c r="M70" i="1" s="1"/>
  <c r="G20" i="141"/>
  <c r="G19" i="141" s="1"/>
  <c r="I19" i="1"/>
  <c r="C14" i="1"/>
  <c r="C13" i="141"/>
  <c r="G70" i="1"/>
  <c r="E16" i="141"/>
  <c r="E17" i="141" s="1"/>
  <c r="C11" i="141"/>
  <c r="J19" i="1"/>
  <c r="U20" i="141"/>
  <c r="U19" i="141" s="1"/>
  <c r="U86" i="141" s="1"/>
  <c r="C21" i="1"/>
  <c r="Y20" i="141"/>
  <c r="Y19" i="141" s="1"/>
  <c r="D19" i="1"/>
  <c r="D18" i="1" s="1"/>
  <c r="E20" i="141"/>
  <c r="C21" i="141"/>
  <c r="I20" i="141"/>
  <c r="I19" i="141" s="1"/>
  <c r="W86" i="141" l="1"/>
  <c r="Y86" i="141"/>
  <c r="S86" i="141"/>
  <c r="I86" i="141"/>
  <c r="K86" i="141"/>
  <c r="H70" i="1"/>
  <c r="C22" i="141"/>
  <c r="Q86" i="141"/>
  <c r="G86" i="141"/>
  <c r="M86" i="141"/>
  <c r="C15" i="1"/>
  <c r="C16" i="1" s="1"/>
  <c r="I18" i="1"/>
  <c r="I70" i="1" s="1"/>
  <c r="J18" i="1"/>
  <c r="J70" i="1" s="1"/>
  <c r="C20" i="1"/>
  <c r="C16" i="141"/>
  <c r="C17" i="141" s="1"/>
  <c r="C19" i="1"/>
  <c r="E19" i="141"/>
  <c r="C20" i="141"/>
  <c r="D70" i="1" l="1"/>
  <c r="C70" i="1" s="1"/>
  <c r="C71" i="1" s="1"/>
  <c r="C18" i="1"/>
  <c r="C19" i="141"/>
  <c r="E86" i="141"/>
  <c r="C86" i="14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Revisor</author>
  </authors>
  <commentList>
    <comment ref="C25" authorId="0" shapeId="0" xr:uid="{00000000-0006-0000-0A00-000001000000}">
      <text>
        <r>
          <rPr>
            <b/>
            <sz val="9"/>
            <color indexed="81"/>
            <rFont val="Tahoma"/>
            <family val="2"/>
            <charset val="204"/>
          </rPr>
          <t>Revisor:</t>
        </r>
        <r>
          <rPr>
            <sz val="9"/>
            <color indexed="81"/>
            <rFont val="Tahoma"/>
            <family val="2"/>
            <charset val="204"/>
          </rPr>
          <t xml:space="preserve">
по 135000-9 мес. 101250-среднемес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 Windows</author>
    <author>Elena</author>
    <author>Пользователь</author>
  </authors>
  <commentList>
    <comment ref="C6" authorId="0" shapeId="0" xr:uid="{00000000-0006-0000-0D00-000001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Контур-Экстерн  по 3-м фирмам отчеты в ифнс и фонды
</t>
        </r>
      </text>
    </comment>
    <comment ref="E6" authorId="0" shapeId="0" xr:uid="{00000000-0006-0000-0D00-000002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Руна ( договор закрыт)</t>
        </r>
      </text>
    </comment>
    <comment ref="F6" authorId="0" shapeId="0" xr:uid="{00000000-0006-0000-0D00-000003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система Главбух ( ежегодно ) Контрагент Столица
</t>
        </r>
      </text>
    </comment>
    <comment ref="B11" authorId="0" shapeId="0" xr:uid="{00000000-0006-0000-0D00-000004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МТС ( офис ) Билайн ( диспетчер)
</t>
        </r>
      </text>
    </comment>
    <comment ref="K13" authorId="0" shapeId="0" xr:uid="{00000000-0006-0000-0D00-000005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Контур-Фокус ( выписки ЕГРН ) ежегодно
</t>
        </r>
      </text>
    </comment>
    <comment ref="E14" authorId="0" shapeId="0" xr:uid="{00000000-0006-0000-0D00-000006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вдгб 15000, домилэнд 40000, Ольховик 60000,
4000 ТО касс. Аппарата
</t>
        </r>
      </text>
    </comment>
    <comment ref="G14" authorId="0" shapeId="0" xr:uid="{00000000-0006-0000-0D00-000007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Ольховик 8000, Ярус 3000 год
</t>
        </r>
      </text>
    </comment>
    <comment ref="H14" authorId="0" shapeId="0" xr:uid="{00000000-0006-0000-0D00-000008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4000 ТО касс. Аппарата</t>
        </r>
      </text>
    </comment>
    <comment ref="I14" authorId="0" shapeId="0" xr:uid="{00000000-0006-0000-0D00-000009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Ольховик</t>
        </r>
      </text>
    </comment>
    <comment ref="K14" authorId="0" shapeId="0" xr:uid="{00000000-0006-0000-0D00-00000A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вдгб 15000, домилэнд 40000, Ольховик 60000
4000 ТО касс. Аппарата
</t>
        </r>
      </text>
    </comment>
    <comment ref="N14" authorId="0" shapeId="0" xr:uid="{00000000-0006-0000-0D00-00000B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4000 ТО касс. Аппарата</t>
        </r>
      </text>
    </comment>
    <comment ref="C21" authorId="1" shapeId="0" xr:uid="{00000000-0006-0000-0D00-00000C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ноябрь -март - Дизтопливо и AU 92/95
</t>
        </r>
      </text>
    </comment>
    <comment ref="F21" authorId="1" shapeId="0" xr:uid="{00000000-0006-0000-0D00-00000D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с апреля по октябрь - AU 92/95
</t>
        </r>
      </text>
    </comment>
    <comment ref="C23" authorId="1" shapeId="0" xr:uid="{00000000-0006-0000-0D00-00000E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аренда манипулятора
</t>
        </r>
      </text>
    </comment>
    <comment ref="F26" authorId="1" shapeId="0" xr:uid="{00000000-0006-0000-0D00-00000F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авансовый платеж за 1 квартал 2020 г
</t>
        </r>
      </text>
    </comment>
    <comment ref="I26" authorId="1" shapeId="0" xr:uid="{00000000-0006-0000-0D00-000010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авансовый платеж за 2 квартал 2020 г.</t>
        </r>
      </text>
    </comment>
    <comment ref="L26" authorId="1" shapeId="0" xr:uid="{00000000-0006-0000-0D00-000011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авансовый платеж за 3 квартал 2020 г.
</t>
        </r>
      </text>
    </comment>
    <comment ref="B35" authorId="1" shapeId="0" xr:uid="{00000000-0006-0000-0D00-000012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непредвиденные расходы ( покраска, ремонт)
</t>
        </r>
      </text>
    </comment>
    <comment ref="D42" authorId="1" shapeId="0" xr:uid="{00000000-0006-0000-0D00-000013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аренда лесополосы
</t>
        </r>
      </text>
    </comment>
    <comment ref="E42" authorId="1" shapeId="0" xr:uid="{00000000-0006-0000-0D00-000014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50000 - услуги ООО "ВАШ ЛЕС" подготовка деклараций и отчетов
</t>
        </r>
      </text>
    </comment>
    <comment ref="H42" authorId="1" shapeId="0" xr:uid="{00000000-0006-0000-0D00-000015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150000 - вырубка леса
</t>
        </r>
      </text>
    </comment>
    <comment ref="I42" authorId="1" shapeId="0" xr:uid="{00000000-0006-0000-0D00-000016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проект лесов 235000
</t>
        </r>
      </text>
    </comment>
    <comment ref="G58" authorId="2" shapeId="0" xr:uid="{00000000-0006-0000-0D00-000017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Закупка средств защиты</t>
        </r>
      </text>
    </comment>
    <comment ref="G68" authorId="2" shapeId="0" xr:uid="{00000000-0006-0000-0D00-000018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замена приборов учета на скважинах, обслуживание ВЗУ</t>
        </r>
      </text>
    </comment>
    <comment ref="H68" authorId="2" shapeId="0" xr:uid="{00000000-0006-0000-0D00-000019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замена приборов учета на скважинах</t>
        </r>
      </text>
    </comment>
    <comment ref="J68" authorId="2" shapeId="0" xr:uid="{00000000-0006-0000-0D00-00001A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Обслуживание ВЗУ</t>
        </r>
      </text>
    </comment>
    <comment ref="M68" authorId="2" shapeId="0" xr:uid="{00000000-0006-0000-0D00-00001B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Обслуживание ВЗУ</t>
        </r>
      </text>
    </comment>
    <comment ref="C71" authorId="2" shapeId="0" xr:uid="{00000000-0006-0000-0D00-00001C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 Windows</author>
  </authors>
  <commentList>
    <comment ref="C8" authorId="0" shapeId="0" xr:uid="{00000000-0006-0000-1000-000001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Руна ( договор закрыт)</t>
        </r>
      </text>
    </comment>
    <comment ref="E8" authorId="0" shapeId="0" xr:uid="{00000000-0006-0000-1000-000002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Руна ( договор закрыт)</t>
        </r>
      </text>
    </comment>
    <comment ref="F8" authorId="0" shapeId="0" xr:uid="{00000000-0006-0000-1000-000003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система Главбух ( ежегодно ) Контрагент Столица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 Windows</author>
  </authors>
  <commentList>
    <comment ref="B6" authorId="0" shapeId="0" xr:uid="{00000000-0006-0000-1500-000001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МТС ( офис ) Билайн ( диспетчер)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 Windows</author>
  </authors>
  <commentList>
    <comment ref="K7" authorId="0" shapeId="0" xr:uid="{00000000-0006-0000-1700-000001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Контур-Фокус ( выписки ЕГРН ) ежегодно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 Windows</author>
  </authors>
  <commentList>
    <comment ref="C8" authorId="0" shapeId="0" xr:uid="{00000000-0006-0000-1800-000001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вдгб 15000, домилэнд 40000, Ольховик 60000,
4000 ТО касс. Аппарата
</t>
        </r>
      </text>
    </comment>
    <comment ref="E8" authorId="0" shapeId="0" xr:uid="{00000000-0006-0000-1800-000002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вдгб 15000, домилэнд 40000, Ольховик 60000,
4000 ТО касс. Аппарата
</t>
        </r>
      </text>
    </comment>
    <comment ref="G8" authorId="0" shapeId="0" xr:uid="{00000000-0006-0000-1800-000003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Ольховик 8000, Ярус 3000 год
</t>
        </r>
      </text>
    </comment>
    <comment ref="H8" authorId="0" shapeId="0" xr:uid="{00000000-0006-0000-1800-000004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4000 ТО касс. Аппарата</t>
        </r>
      </text>
    </comment>
    <comment ref="I8" authorId="0" shapeId="0" xr:uid="{00000000-0006-0000-1800-000005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Ольховик</t>
        </r>
      </text>
    </comment>
    <comment ref="K8" authorId="0" shapeId="0" xr:uid="{00000000-0006-0000-1800-000006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вдгб 15000, домилэнд 40000, Ольховик 60000
4000 ТО касс. Аппарата
</t>
        </r>
      </text>
    </comment>
    <comment ref="N8" authorId="0" shapeId="0" xr:uid="{00000000-0006-0000-1800-000007000000}">
      <text>
        <r>
          <rPr>
            <b/>
            <sz val="8"/>
            <color indexed="81"/>
            <rFont val="Tahoma"/>
            <family val="2"/>
            <charset val="204"/>
          </rPr>
          <t>Пользователь Windows:</t>
        </r>
        <r>
          <rPr>
            <sz val="8"/>
            <color indexed="81"/>
            <rFont val="Tahoma"/>
            <family val="2"/>
            <charset val="204"/>
          </rPr>
          <t xml:space="preserve">
4000 ТО касс. Аппарата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Elena</author>
  </authors>
  <commentList>
    <comment ref="C4" authorId="0" shapeId="0" xr:uid="{00000000-0006-0000-1E00-000001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ноябрь -март - Дизтопливо и AU 92/95
</t>
        </r>
      </text>
    </comment>
    <comment ref="F4" authorId="0" shapeId="0" xr:uid="{00000000-0006-0000-1E00-000002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с апреля по октябрь - AU 92/95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Elena</author>
  </authors>
  <commentList>
    <comment ref="C4" authorId="0" shapeId="0" xr:uid="{00000000-0006-0000-2000-000001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аренда манипулятора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Elena</author>
  </authors>
  <commentList>
    <comment ref="D3" authorId="0" shapeId="0" xr:uid="{00000000-0006-0000-3100-000001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аренда лесополосы
</t>
        </r>
      </text>
    </comment>
    <comment ref="E3" authorId="0" shapeId="0" xr:uid="{00000000-0006-0000-3100-000002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50000 - услуги ООО "ВАШ ЛЕС" подготовка деклараций и отчетов
</t>
        </r>
      </text>
    </comment>
    <comment ref="H3" authorId="0" shapeId="0" xr:uid="{00000000-0006-0000-3100-000003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150000 - вырубка леса
</t>
        </r>
      </text>
    </comment>
    <comment ref="I3" authorId="0" shapeId="0" xr:uid="{00000000-0006-0000-3100-000004000000}">
      <text>
        <r>
          <rPr>
            <b/>
            <sz val="9"/>
            <color indexed="81"/>
            <rFont val="Tahoma"/>
            <family val="2"/>
            <charset val="204"/>
          </rPr>
          <t>Elena:</t>
        </r>
        <r>
          <rPr>
            <sz val="9"/>
            <color indexed="81"/>
            <rFont val="Tahoma"/>
            <family val="2"/>
            <charset val="204"/>
          </rPr>
          <t xml:space="preserve">
проект лесов 235000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</author>
  </authors>
  <commentList>
    <comment ref="G3" authorId="0" shapeId="0" xr:uid="{00000000-0006-0000-3E00-000001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Закупка средств защиты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</author>
  </authors>
  <commentList>
    <comment ref="G3" authorId="0" shapeId="0" xr:uid="{00000000-0006-0000-4600-000001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замена приборов учета на скважинах, обслуживание ВЗУ</t>
        </r>
      </text>
    </comment>
    <comment ref="H3" authorId="0" shapeId="0" xr:uid="{00000000-0006-0000-4600-000002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замена приборов учета на скважинах</t>
        </r>
      </text>
    </comment>
    <comment ref="J3" authorId="0" shapeId="0" xr:uid="{00000000-0006-0000-4600-000003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Обслуживание ВЗУ</t>
        </r>
      </text>
    </comment>
    <comment ref="M3" authorId="0" shapeId="0" xr:uid="{00000000-0006-0000-4600-000004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Обслуживание ВЗУ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</author>
  </authors>
  <commentList>
    <comment ref="C3" authorId="0" shapeId="0" xr:uid="{00000000-0006-0000-4800-000001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D3" authorId="0" shapeId="0" xr:uid="{00000000-0006-0000-4800-000002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F3" authorId="0" shapeId="0" xr:uid="{00000000-0006-0000-4800-000003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G3" authorId="0" shapeId="0" xr:uid="{00000000-0006-0000-4800-000004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I3" authorId="0" shapeId="0" xr:uid="{00000000-0006-0000-4800-000005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J3" authorId="0" shapeId="0" xr:uid="{00000000-0006-0000-4800-000006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L3" authorId="0" shapeId="0" xr:uid="{00000000-0006-0000-4800-000007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M3" authorId="0" shapeId="0" xr:uid="{00000000-0006-0000-4800-000008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</author>
  </authors>
  <commentList>
    <comment ref="C3" authorId="0" shapeId="0" xr:uid="{00000000-0006-0000-4900-000001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D3" authorId="0" shapeId="0" xr:uid="{00000000-0006-0000-4900-000002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F3" authorId="0" shapeId="0" xr:uid="{00000000-0006-0000-4900-000003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G3" authorId="0" shapeId="0" xr:uid="{00000000-0006-0000-4900-000004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I3" authorId="0" shapeId="0" xr:uid="{00000000-0006-0000-4900-000005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J3" authorId="0" shapeId="0" xr:uid="{00000000-0006-0000-4900-000006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L3" authorId="0" shapeId="0" xr:uid="{00000000-0006-0000-4900-000007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M3" authorId="0" shapeId="0" xr:uid="{00000000-0006-0000-4900-000008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</commentList>
</comments>
</file>

<file path=xl/sharedStrings.xml><?xml version="1.0" encoding="utf-8"?>
<sst xmlns="http://schemas.openxmlformats.org/spreadsheetml/2006/main" count="1815" uniqueCount="745">
  <si>
    <t>№ / КОД</t>
  </si>
  <si>
    <t>Наименование статьи</t>
  </si>
  <si>
    <t>Помесячно в руб.: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</si>
  <si>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</si>
  <si>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</si>
  <si>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</si>
  <si>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</si>
  <si>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</si>
  <si>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</si>
  <si>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</si>
  <si>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</si>
  <si>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</si>
  <si>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</si>
  <si>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</si>
  <si>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</si>
  <si>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СТАТЬИ ПОСТУПЛЕНИЙ</t>
  </si>
  <si>
    <t>Собираемость, %</t>
  </si>
  <si>
    <t>Проценты по займам и вкладам (депозитам)</t>
  </si>
  <si>
    <t>Добровольные пожертвования</t>
  </si>
  <si>
    <t>СТАТЬИ РАСХОДОВ</t>
  </si>
  <si>
    <t>Временно выведенные средства (депозит)</t>
  </si>
  <si>
    <t>ИТОГО:</t>
  </si>
  <si>
    <t>Итого</t>
  </si>
  <si>
    <t>1/12 расходной части годового Бюджета (руб.)</t>
  </si>
  <si>
    <t>1-001</t>
  </si>
  <si>
    <t>1-002</t>
  </si>
  <si>
    <t>1-003</t>
  </si>
  <si>
    <t>1-004</t>
  </si>
  <si>
    <t>1-005</t>
  </si>
  <si>
    <t>1-006</t>
  </si>
  <si>
    <t>1-007</t>
  </si>
  <si>
    <t>1-008</t>
  </si>
  <si>
    <t xml:space="preserve">собираемость ЕЧВ составила </t>
  </si>
  <si>
    <t>Итого собираемость:</t>
  </si>
  <si>
    <t>Итого:</t>
  </si>
  <si>
    <t>март</t>
  </si>
  <si>
    <t>апрель</t>
  </si>
  <si>
    <t>В данную статью входят следующие поступления:</t>
  </si>
  <si>
    <t>Сумма:</t>
  </si>
  <si>
    <t>Иные поступления</t>
  </si>
  <si>
    <t>возмещение судебных издержек</t>
  </si>
  <si>
    <t>1-000</t>
  </si>
  <si>
    <t>2-001</t>
  </si>
  <si>
    <t>Ежемесячные членские взносы исходя из 100% плана</t>
  </si>
  <si>
    <t>Итого поступления ЧВ в год (руб.):</t>
  </si>
  <si>
    <t>Холодная вода</t>
  </si>
  <si>
    <t>Фактическое поступление ежемесячных членских взносов и коммунальных платежей</t>
  </si>
  <si>
    <t>Поступления от коммерческой деятельности</t>
  </si>
  <si>
    <t>Дефицит (-), профицит (+) средств на 01.01.2019 год (входящее сальдо)</t>
  </si>
  <si>
    <t>Аренда зем.участка</t>
  </si>
  <si>
    <t>Прочие</t>
  </si>
  <si>
    <t>Данная  статья  включает текущую собираемость членских взносов, а также собираемость задолженности прошлых периодов</t>
  </si>
  <si>
    <t>Расходы НП "Зеленый Мыс"</t>
  </si>
  <si>
    <t>касса</t>
  </si>
  <si>
    <t>Итого поступлений:</t>
  </si>
  <si>
    <t>Интернет</t>
  </si>
  <si>
    <t>Ежемесячные</t>
  </si>
  <si>
    <t>Сезонные</t>
  </si>
  <si>
    <t>Эксплуатационные услуги</t>
  </si>
  <si>
    <t xml:space="preserve">Депозит </t>
  </si>
  <si>
    <t>май</t>
  </si>
  <si>
    <t>июнь</t>
  </si>
  <si>
    <t>НП "Зеленый Мыс" в целях сохранения и приумножения временно свободных денежных средств, осуществляет их краткосрочное  размещение под проценты (депозиты):</t>
  </si>
  <si>
    <t>янв</t>
  </si>
  <si>
    <t>фев</t>
  </si>
  <si>
    <t>мар</t>
  </si>
  <si>
    <t>апр</t>
  </si>
  <si>
    <t>июн</t>
  </si>
  <si>
    <t>июл</t>
  </si>
  <si>
    <t>авг</t>
  </si>
  <si>
    <t>сен</t>
  </si>
  <si>
    <t>окт</t>
  </si>
  <si>
    <t>ноя</t>
  </si>
  <si>
    <t>дек</t>
  </si>
  <si>
    <t xml:space="preserve"> Расходы на содержание УК</t>
  </si>
  <si>
    <t>Транспорт</t>
  </si>
  <si>
    <t>ГСМ для ТС</t>
  </si>
  <si>
    <t>Транспорт (приобретение)</t>
  </si>
  <si>
    <t>Транспорт ( аренда)</t>
  </si>
  <si>
    <t>Техническое обслуживание ТС, ремонты, запчасти</t>
  </si>
  <si>
    <t>Обслуживание дорог</t>
  </si>
  <si>
    <t>Ремонт дорожных покрытий</t>
  </si>
  <si>
    <t>Вывоз снега, уборка , чистка</t>
  </si>
  <si>
    <t>Песок, гранитная крошка, реагенты</t>
  </si>
  <si>
    <t>Благоустройство/озеленение</t>
  </si>
  <si>
    <t>Устройство, ремонт детских, спортивных площадок, шатра и МАФов</t>
  </si>
  <si>
    <t>Восстановление цветников, газонов (в т.ч. Обслуживание) Озеленение, покос</t>
  </si>
  <si>
    <t>Санитарная обработка территорий</t>
  </si>
  <si>
    <t xml:space="preserve">Прочие расходы по благоустройству </t>
  </si>
  <si>
    <t>Инвентарь, в т.ч. Обслуживание и ремонт газонокосилок</t>
  </si>
  <si>
    <t>Организация полива растений и газона (Договор с МОБВУ, лицензия)</t>
  </si>
  <si>
    <t>Вывоз мусора (фиксированная часть)</t>
  </si>
  <si>
    <t>Вывоз мусора (переменная часть)</t>
  </si>
  <si>
    <t>Покупка мусорных мешков</t>
  </si>
  <si>
    <t>Биокабины</t>
  </si>
  <si>
    <t>Содержание прибрежной полосы( аренда, лицензия, проект)</t>
  </si>
  <si>
    <t>Договор на водопользование ( оплата по договору водопользования)</t>
  </si>
  <si>
    <t>Охрана ЧОП</t>
  </si>
  <si>
    <t>Договор на охрану поселка</t>
  </si>
  <si>
    <t>Система контроля доступа КПП № 1, 2,3</t>
  </si>
  <si>
    <t>Расходные материалы (карточки, картреджи и т.д.)</t>
  </si>
  <si>
    <t>Обслуживание Системы видеонаблюдения (Ремонты, ТО)</t>
  </si>
  <si>
    <t>Модернизация и обсл-ие СКУД (Ремонты, ТО)</t>
  </si>
  <si>
    <t>Обслуживание ОПС (Ремонты, ТО, документация)</t>
  </si>
  <si>
    <t>Затраты на обслуживание сетей (работы, услуги, материалы (кроме ВЗУ))</t>
  </si>
  <si>
    <t>Обслуживание сетей Хозяйтсвенно-бытовой канализации  (Модернизация, ремонты, ТО)</t>
  </si>
  <si>
    <t>Обслуживание сетей пож.водопровода (Модернизация, Ремонты, ТО, документация)</t>
  </si>
  <si>
    <t>Обслуживание ЛОСов (Ремонты, ТО)</t>
  </si>
  <si>
    <t>Электрохозяйство</t>
  </si>
  <si>
    <t>Обслуживание сетей электропитания (Модернизация, Ремонты, ТО, документация)</t>
  </si>
  <si>
    <t>Электрохозяйство ( Ремонт, модернизация инженерных сооружений)</t>
  </si>
  <si>
    <t>Обслуживание сетей нар.освещения (Ремонты, ТО, документация)</t>
  </si>
  <si>
    <t>Обучение и аттестация сотрудников</t>
  </si>
  <si>
    <t xml:space="preserve">Имущественные налоги (земельный налог, окружающая среда) </t>
  </si>
  <si>
    <t>Мероприятия</t>
  </si>
  <si>
    <t>Обслуживание ВОЛС (в т.ч. оплата Поставщикам)</t>
  </si>
  <si>
    <t xml:space="preserve"> ВЗУ</t>
  </si>
  <si>
    <t>водный налог</t>
  </si>
  <si>
    <t>Лицензия и Штрафные санкции за нарушение условий лицензирования</t>
  </si>
  <si>
    <t>Обслуживание сетей водоснабжения (Модернизация, Ремонты, ТО)</t>
  </si>
  <si>
    <t>Содержание офиса -канцтовары, хозтовары</t>
  </si>
  <si>
    <t xml:space="preserve">Аренда помещений </t>
  </si>
  <si>
    <t>2020г.</t>
  </si>
  <si>
    <t>Услуги связи и почтовые услуги</t>
  </si>
  <si>
    <t>Правовое обслуживание, консультационные услуги (Главбух, Контур)</t>
  </si>
  <si>
    <t>Кадастрирование, изыскания, ЕГРН (Контур-Фокус)</t>
  </si>
  <si>
    <t>Услуги банков (комиссия за РКО, эквайринг)</t>
  </si>
  <si>
    <t xml:space="preserve">Накладные расходы  бухгалтерии (программное обеспечение 1С, сайта и приложения ЖКХ, ТО касс. техники ) </t>
  </si>
  <si>
    <t>Аренда производственных площадок (ЗУ под технику И АТС АХК)</t>
  </si>
  <si>
    <t>коммуналка офиса и произв площадок (теплоснабжение и горячая вода)</t>
  </si>
  <si>
    <t>Налог УСН</t>
  </si>
  <si>
    <t>Расходы на компьютеоы и оргтехнику</t>
  </si>
  <si>
    <t xml:space="preserve">Транспортный налог </t>
  </si>
  <si>
    <t>Страхование ТС</t>
  </si>
  <si>
    <t>Услуги сторонних контрагентов ( самозанятые)</t>
  </si>
  <si>
    <t>Замена приборов учета</t>
  </si>
  <si>
    <t>Услуги сторонних контрагентов ( аутсафтинг)</t>
  </si>
  <si>
    <t>Кондиционирование серверной</t>
  </si>
  <si>
    <t>Расходные материалы (инструменты. Расходные материалы)</t>
  </si>
  <si>
    <t>Расходные матенриалы, инструмент, модернизация</t>
  </si>
  <si>
    <t>Потери по электроэнергии</t>
  </si>
  <si>
    <t>2-0011</t>
  </si>
  <si>
    <t>2-0012</t>
  </si>
  <si>
    <t>2-0013</t>
  </si>
  <si>
    <t>2-0014</t>
  </si>
  <si>
    <t>2-0015</t>
  </si>
  <si>
    <t>2-0016</t>
  </si>
  <si>
    <t>2-0017</t>
  </si>
  <si>
    <t>2-0018</t>
  </si>
  <si>
    <t>2-0019</t>
  </si>
  <si>
    <t>2-0020</t>
  </si>
  <si>
    <t>2-0021</t>
  </si>
  <si>
    <t>2-0022</t>
  </si>
  <si>
    <t>2-0023</t>
  </si>
  <si>
    <t>2-0024</t>
  </si>
  <si>
    <t>2-0025</t>
  </si>
  <si>
    <t>2-0026</t>
  </si>
  <si>
    <t>2-0027</t>
  </si>
  <si>
    <t>2-0028</t>
  </si>
  <si>
    <t>2-0029</t>
  </si>
  <si>
    <t>2-0030</t>
  </si>
  <si>
    <t>2-0031</t>
  </si>
  <si>
    <t>2-0032</t>
  </si>
  <si>
    <t>2-0033</t>
  </si>
  <si>
    <t>2-0034</t>
  </si>
  <si>
    <t>2-0035</t>
  </si>
  <si>
    <t>2-0036</t>
  </si>
  <si>
    <t>2-0037</t>
  </si>
  <si>
    <t>2-0038</t>
  </si>
  <si>
    <t>2-0039</t>
  </si>
  <si>
    <t>2-0040</t>
  </si>
  <si>
    <t>2-0041</t>
  </si>
  <si>
    <t>2-0042</t>
  </si>
  <si>
    <t>2-0043</t>
  </si>
  <si>
    <t>2-0044</t>
  </si>
  <si>
    <t>2-0045</t>
  </si>
  <si>
    <t>2-0046</t>
  </si>
  <si>
    <t>2-0047</t>
  </si>
  <si>
    <t>2-0048</t>
  </si>
  <si>
    <t>2-0049</t>
  </si>
  <si>
    <t>2-0050</t>
  </si>
  <si>
    <t>2-0051</t>
  </si>
  <si>
    <t>2-0052</t>
  </si>
  <si>
    <t>2-0053</t>
  </si>
  <si>
    <t>2-0054</t>
  </si>
  <si>
    <t>2-0055</t>
  </si>
  <si>
    <t>2-0056</t>
  </si>
  <si>
    <t>2-0057</t>
  </si>
  <si>
    <t>2-0058</t>
  </si>
  <si>
    <t>2-0059</t>
  </si>
  <si>
    <t>2-0060</t>
  </si>
  <si>
    <t>2-0061</t>
  </si>
  <si>
    <t>2-0062</t>
  </si>
  <si>
    <t>2-0063</t>
  </si>
  <si>
    <t>2-0064</t>
  </si>
  <si>
    <t>2-0065</t>
  </si>
  <si>
    <t>2-0066</t>
  </si>
  <si>
    <t>2-0067</t>
  </si>
  <si>
    <t>2-0068</t>
  </si>
  <si>
    <t>2-0069</t>
  </si>
  <si>
    <t>2-0070</t>
  </si>
  <si>
    <t>1-0021</t>
  </si>
  <si>
    <t>Покраска детских площадок</t>
  </si>
  <si>
    <t>Плановое обслуживание инвентаря</t>
  </si>
  <si>
    <t>Плановое обслуживание инвентаря, закупка расходников</t>
  </si>
  <si>
    <t>Плановое обслуживание инвентаря, ремонт крупных косилок</t>
  </si>
  <si>
    <t>Бюджет</t>
  </si>
  <si>
    <t>от возмещения ущерба общему имуществу, добровольные пожертвования жителей</t>
  </si>
  <si>
    <t>Доходы от коммерческой деятельности НП "Зеленый мыс" включают в себя :</t>
  </si>
  <si>
    <t>В данной статье отражены следующие расходы:</t>
  </si>
  <si>
    <t>В данной статье отражены расходы по получению выписок из ЕГРН о собственности на участки и жилье жителей поселка. Компания  Контур-Фокус оказывает  услугу по получению выписок. Ежегодный платеж составляет 55000-00 руб.</t>
  </si>
  <si>
    <t xml:space="preserve">Кадастрирование, изыскания, выписки из  ЕГРН </t>
  </si>
  <si>
    <t>Услуги банков</t>
  </si>
  <si>
    <t>Ярус</t>
  </si>
  <si>
    <t>в том числе</t>
  </si>
  <si>
    <t>НП Зеленый Мыс осуществляет коммерческую деятельность. Доход от коммерческой деятельности облагается по ставке 6% ( упрощенная система налогооблажения) и оплачивается ежеквартально</t>
  </si>
  <si>
    <t>Потери по электроэнергии составляют примерно 5% от общего объема потребленной электроэнергии. В данной статье они распределены равномерно по месяцам.</t>
  </si>
  <si>
    <t>Услуги манипулятора для очистки корзины КНС</t>
  </si>
  <si>
    <t>Услуги илососа для удаления ила</t>
  </si>
  <si>
    <t>Закупка средств защиты для электроустановок</t>
  </si>
  <si>
    <t>Закупка информационных плакатов</t>
  </si>
  <si>
    <t>Инструменты(Акумулятор на шуруповерт, сверла и т.д.)</t>
  </si>
  <si>
    <t>Подготовительные работы к Новому году</t>
  </si>
  <si>
    <t>Контур-Экстерн</t>
  </si>
  <si>
    <t>Аренда лесоплосы</t>
  </si>
  <si>
    <t>Подготовка деклараций</t>
  </si>
  <si>
    <t>июль</t>
  </si>
  <si>
    <t>август</t>
  </si>
  <si>
    <t>сентябрь</t>
  </si>
  <si>
    <t>октябрь</t>
  </si>
  <si>
    <t>ноябрь</t>
  </si>
  <si>
    <t>декабрь</t>
  </si>
  <si>
    <t>ВСЕГО с учетом входящего сальдо на 01.01.2019 года</t>
  </si>
  <si>
    <t>Профицит (- Дефицит) общий ( месячный)</t>
  </si>
  <si>
    <t>2-0071</t>
  </si>
  <si>
    <t>Непредвиденные расходы</t>
  </si>
  <si>
    <t>исполнительный  директор</t>
  </si>
  <si>
    <t>юрист</t>
  </si>
  <si>
    <t>главный инженер</t>
  </si>
  <si>
    <t>инспектор по кадрам-делопроизводитель</t>
  </si>
  <si>
    <t>главный бухгалтер</t>
  </si>
  <si>
    <t>старший бухгалтер</t>
  </si>
  <si>
    <t>электрик</t>
  </si>
  <si>
    <t>слесарь-сантехник</t>
  </si>
  <si>
    <t>диспетчер</t>
  </si>
  <si>
    <t>водитель-экспедитор</t>
  </si>
  <si>
    <t>тракторист</t>
  </si>
  <si>
    <t>автомеханик</t>
  </si>
  <si>
    <t>рабочий по благоустройству территории</t>
  </si>
  <si>
    <t>уборщица</t>
  </si>
  <si>
    <t>бухгалтер-кассир (0.25 ставки)</t>
  </si>
  <si>
    <t>кассир (0.5 ставки)</t>
  </si>
  <si>
    <t>Название</t>
  </si>
  <si>
    <t>Экспл. Услуги</t>
  </si>
  <si>
    <t>Шиномонтаж</t>
  </si>
  <si>
    <t>Жители КРК</t>
  </si>
  <si>
    <t>Долг Кривошапко</t>
  </si>
  <si>
    <t>Система Главбух</t>
  </si>
  <si>
    <t>Включить на 2021 год</t>
  </si>
  <si>
    <t xml:space="preserve"> август</t>
  </si>
  <si>
    <t xml:space="preserve">октябрь </t>
  </si>
  <si>
    <t>План</t>
  </si>
  <si>
    <t>Факт</t>
  </si>
  <si>
    <t>Страховые взносы с ФОТ</t>
  </si>
  <si>
    <t>Страховые взносы</t>
  </si>
  <si>
    <t>Консультационные и информационные услуги</t>
  </si>
  <si>
    <t>Расходы на программное обеспечение</t>
  </si>
  <si>
    <t xml:space="preserve">Аренда земельного участка </t>
  </si>
  <si>
    <t>Техническое обслуживание ТС и мототехники ( ремонты, запчасти )</t>
  </si>
  <si>
    <t>Выплата заработной платы ( в т. ч. НДФЛ  )</t>
  </si>
  <si>
    <t xml:space="preserve">В данной статье заложены расходы на покупку расходных материалов и комплектующих для компьютерной и оргтехники, покупка новой оргтехники </t>
  </si>
  <si>
    <t xml:space="preserve">Непредвиденные расходы </t>
  </si>
  <si>
    <t>Финансовый план (бюджет) НП "Зеленый мыс" на 2021 год</t>
  </si>
  <si>
    <t>р/с 1 Сбербанк</t>
  </si>
  <si>
    <t>январь</t>
  </si>
  <si>
    <t>февраль</t>
  </si>
  <si>
    <t xml:space="preserve">Процентная ставка </t>
  </si>
  <si>
    <t xml:space="preserve">ИП Ольховик </t>
  </si>
  <si>
    <t>ВДГБ ( 12 мес.)</t>
  </si>
  <si>
    <t>ТО и обновления кассовой техники ( 3мес.)</t>
  </si>
  <si>
    <t xml:space="preserve">Обслуживание компьютерного оборудования </t>
  </si>
  <si>
    <t xml:space="preserve">Фонд оплаты труда </t>
  </si>
  <si>
    <t>Данная статья отражает  взносы в ПФ, ФСС, ФОМС (30.2%), начисленные с фонда оплаты труда штатных сотрудников НП Зеленый Мыс</t>
  </si>
  <si>
    <t>Подготовка и сдача 2ТП-отходы, расчет платы НВОС</t>
  </si>
  <si>
    <t>Расходные материалы (инструменты, расходные материалы)</t>
  </si>
  <si>
    <t>Восстановление ЛОСов (Сепараторы и фильтра доочистки для очистных сооружений ливневых стоков)</t>
  </si>
  <si>
    <t>Электрохозяйство (Аварийный ремонт, модернизация инженерных сооружений)</t>
  </si>
  <si>
    <t>Сдача на Демеркуризацию ламп (утилизация ртутьсодерожащих ламп)</t>
  </si>
  <si>
    <t>Инструменты, материалы(лампочки, узо, автоматы и т.д.)</t>
  </si>
  <si>
    <t>Мероприятия по переаттестации ( электробезопасность, работа на высоте, работник люльки)</t>
  </si>
  <si>
    <t>УФ лампы для замены на ВЗУ</t>
  </si>
  <si>
    <t>Переоформление личных медицинских книжек сантехников</t>
  </si>
  <si>
    <t>Профицит (- Дефицит) с учетом входящего остатка и депозита</t>
  </si>
  <si>
    <t xml:space="preserve"> январь</t>
  </si>
  <si>
    <t xml:space="preserve"> февраль</t>
  </si>
  <si>
    <t xml:space="preserve"> март</t>
  </si>
  <si>
    <t xml:space="preserve"> апрель</t>
  </si>
  <si>
    <t xml:space="preserve"> май</t>
  </si>
  <si>
    <t xml:space="preserve"> июнь</t>
  </si>
  <si>
    <t xml:space="preserve"> июль</t>
  </si>
  <si>
    <t>Хозяйственные расходы (канцтовары, хозтовары, ремонт помещений)</t>
  </si>
  <si>
    <t xml:space="preserve">Юридические услуги </t>
  </si>
  <si>
    <t>Услуги юристов по судебным искам к НП</t>
  </si>
  <si>
    <t>Чистка и настройка блоков управления фильтрами, диагностика компрессоров</t>
  </si>
  <si>
    <t>Земельный налог</t>
  </si>
  <si>
    <t>Обслуживание сетей водоснабжения (материалы, инструмент,  ремонт)</t>
  </si>
  <si>
    <t>Материалы и инструмент</t>
  </si>
  <si>
    <t>Строительство и реконструкция объектов инфраструктуры</t>
  </si>
  <si>
    <t>Обслуживание и ремонт КПП</t>
  </si>
  <si>
    <t>Исполнение закона ФЗ-374 
(приблизительно)</t>
  </si>
  <si>
    <t>Модернизация, условия лицензирования</t>
  </si>
  <si>
    <t>Водный налог</t>
  </si>
  <si>
    <t>Обслуживание ОПС (Ремонты, ТО )</t>
  </si>
  <si>
    <t>Расходы по НИКА-Стиль ( з/п директора, налоги)</t>
  </si>
  <si>
    <t>Привлечение дополнительной техники по уборке , чистке снега</t>
  </si>
  <si>
    <t xml:space="preserve">Расходные материалы для изготовления пропусков </t>
  </si>
  <si>
    <t>С мая 2021г. Интернет-канал передается другому оператору</t>
  </si>
  <si>
    <t>В данной статье заложены расходы на покупку канцелярских и хозяйственных товаров для нужд НП, ремонт помещений офиса, здания администрации</t>
  </si>
  <si>
    <t>№</t>
  </si>
  <si>
    <t>Лицевой счет, таунхаусы</t>
  </si>
  <si>
    <t>Членский взнос, руб</t>
  </si>
  <si>
    <t>Лицевой счет, участки</t>
  </si>
  <si>
    <t>вл.  №Т-1</t>
  </si>
  <si>
    <t>вл. №  102/Вр-ЭЗМ</t>
  </si>
  <si>
    <t>вл.  №Т-10</t>
  </si>
  <si>
    <t>вл. №  103/Вр-ЭЗМ</t>
  </si>
  <si>
    <t>вл.  №Т-100</t>
  </si>
  <si>
    <t>вл. №  104/Вр-ЭЗМ/1</t>
  </si>
  <si>
    <t>вл.  №Т-101</t>
  </si>
  <si>
    <t>вл. №  106 /Вр-ЭЗМ</t>
  </si>
  <si>
    <t>вл.  №Т-102</t>
  </si>
  <si>
    <t>вл. №  107/Вр-ЭЗМ</t>
  </si>
  <si>
    <t>вл.  №Т-103</t>
  </si>
  <si>
    <t>вл. №  108/Вр-ЭЗМ /1</t>
  </si>
  <si>
    <t>вл.  №Т-104</t>
  </si>
  <si>
    <t>вл. №  109/Вр-ЭЗМ</t>
  </si>
  <si>
    <t>вл.  №Т-105/2</t>
  </si>
  <si>
    <t>вл. №  11/Вр-ЭЗМ</t>
  </si>
  <si>
    <t>вл.  №Т-106</t>
  </si>
  <si>
    <t>вл. №  110/Вр-ЭЗМ</t>
  </si>
  <si>
    <t>вл.  №Т-107</t>
  </si>
  <si>
    <t>вл. №  111/Вр-ЭЗМ</t>
  </si>
  <si>
    <t>вл.  №Т-108</t>
  </si>
  <si>
    <t>вл. №  112/Вр-ЭЗМ /1</t>
  </si>
  <si>
    <t>вл.  №Т-109</t>
  </si>
  <si>
    <t>вл. №  113/Вр-ЭЗМ</t>
  </si>
  <si>
    <t>вл.  №Т-11</t>
  </si>
  <si>
    <t>вл. №  114/Вр-ЭЗМ</t>
  </si>
  <si>
    <t>вл.  №Т-110</t>
  </si>
  <si>
    <t>вл. №  115/Вр-ЭЗМ</t>
  </si>
  <si>
    <t>вл.  №Т-111</t>
  </si>
  <si>
    <t>вл. №  116/Вр-ЭЗМ</t>
  </si>
  <si>
    <t>вл.  №Т-112</t>
  </si>
  <si>
    <t>вл. №  117/Вр-ЭЗМ</t>
  </si>
  <si>
    <t>вл.  №Т-113</t>
  </si>
  <si>
    <t>вл. №  118//Вр-ЭЗМ</t>
  </si>
  <si>
    <t>вл.  №Т-114</t>
  </si>
  <si>
    <t>вл. №  119/Вр-ЭЗМ/1</t>
  </si>
  <si>
    <t>вл.  №Т-12</t>
  </si>
  <si>
    <t>вл. №  12/Вр-ЭЗМ</t>
  </si>
  <si>
    <t>вл.  №Т-13</t>
  </si>
  <si>
    <t>вл. №  120/Вр-ЭЗМ</t>
  </si>
  <si>
    <t>вл.  №Т-14</t>
  </si>
  <si>
    <t>вл. №  121/Вр-ЭЗМ</t>
  </si>
  <si>
    <t>вл.  №Т-15</t>
  </si>
  <si>
    <t>вл. №  122/2</t>
  </si>
  <si>
    <t>вл.  №Т-17/1</t>
  </si>
  <si>
    <t>вл. №  123/Вр-ЭЗМ</t>
  </si>
  <si>
    <t>вл.  №Т-18</t>
  </si>
  <si>
    <t>вл. №  124/Вр-ЭЗМ/1</t>
  </si>
  <si>
    <t>вл.  №Т-19</t>
  </si>
  <si>
    <t>вл. №  125/Вр-ЭЗМ</t>
  </si>
  <si>
    <t>вл.  №Т-2</t>
  </si>
  <si>
    <t>вл. №  126/Вр-ЭЗМ</t>
  </si>
  <si>
    <t>вл.  №Т-20</t>
  </si>
  <si>
    <t>вл. №  127/Вр-ЭЗМ</t>
  </si>
  <si>
    <t>вл.  №Т-22</t>
  </si>
  <si>
    <t>вл. №  128/Вр-ЭЗМ</t>
  </si>
  <si>
    <t>вл.  №Т-23</t>
  </si>
  <si>
    <t>вл. №  129/Вр-ЭЗМ</t>
  </si>
  <si>
    <t>вл.  №Т-24</t>
  </si>
  <si>
    <t>вл. №  13/Вр-ЭЗМ</t>
  </si>
  <si>
    <t>вл.  №Т-25</t>
  </si>
  <si>
    <t>вл. №  130/Вр-ЭЗМ</t>
  </si>
  <si>
    <t>вл.  №Т-26</t>
  </si>
  <si>
    <t>вл. №  131/Вр-ЭЗМ</t>
  </si>
  <si>
    <t>вл.  №Т-27</t>
  </si>
  <si>
    <t>вл. №  132/Вр-ЭЗМ</t>
  </si>
  <si>
    <t>вл.  №Т-28/1</t>
  </si>
  <si>
    <t>вл. №  133/Вр-ЭЗМ</t>
  </si>
  <si>
    <t>вл.  №Т-29</t>
  </si>
  <si>
    <t>вл. №  134/Вр-ЭЗМ</t>
  </si>
  <si>
    <t>вл.  №Т-3</t>
  </si>
  <si>
    <t>вл. №  135/Вр-ЭЗМ</t>
  </si>
  <si>
    <t>вл.  №Т-30</t>
  </si>
  <si>
    <t>вл. №  136/Вр-ЭЗМ /1</t>
  </si>
  <si>
    <t>вл.  №Т-31</t>
  </si>
  <si>
    <t>вл. №  14/Вр-ЭЗМ/1</t>
  </si>
  <si>
    <t>вл.  №Т-32</t>
  </si>
  <si>
    <t>вл. №  140/Вр-ЭЗМ</t>
  </si>
  <si>
    <t>вл.  №Т-33</t>
  </si>
  <si>
    <t>вл. №  141-142/Вр-ЭЗМ</t>
  </si>
  <si>
    <t>вл.  №Т-34</t>
  </si>
  <si>
    <t>вл. №  143/Вр-ЭЗМ</t>
  </si>
  <si>
    <t>вл.  №Т-35</t>
  </si>
  <si>
    <t>вл. №  144/Вр-ЭЗМ</t>
  </si>
  <si>
    <t>вл.  №Т-36</t>
  </si>
  <si>
    <t>вл. №  145/Вр-ЭЗМ</t>
  </si>
  <si>
    <t>вл.  №Т-37/1</t>
  </si>
  <si>
    <t>вл. №  146/Вр-ЭЗМ/1</t>
  </si>
  <si>
    <t>вл.  №Т-38</t>
  </si>
  <si>
    <t>вл. №  147/Вр-ЭЗМ</t>
  </si>
  <si>
    <t>вл.  №Т-39</t>
  </si>
  <si>
    <t>вл. №  148/Вр-ЭЗМ</t>
  </si>
  <si>
    <t>вл.  №Т-4</t>
  </si>
  <si>
    <t>вл. №  149/Вр-ЭЗМ</t>
  </si>
  <si>
    <t>вл.  №Т-40/1</t>
  </si>
  <si>
    <t>вл. №  15/Вр-ЭЗМ</t>
  </si>
  <si>
    <t>вл.  №Т-41</t>
  </si>
  <si>
    <t>вл. №  150/Вр-ЭЗМ</t>
  </si>
  <si>
    <t>вл.  №Т-42 /1</t>
  </si>
  <si>
    <t>вл. №  151-152/Вр-ЭЗМ</t>
  </si>
  <si>
    <t>вл.  №Т-44</t>
  </si>
  <si>
    <t>вл. №  154/Вр-ЭЗМ</t>
  </si>
  <si>
    <t>вл.  №Т-45</t>
  </si>
  <si>
    <t>вл. №  155/Вр-ЭЗМ</t>
  </si>
  <si>
    <t>вл.  №Т-46</t>
  </si>
  <si>
    <t>вл. №  156/Вр-ЭЗМ</t>
  </si>
  <si>
    <t>вл.  №Т-47</t>
  </si>
  <si>
    <t>вл. №  157/Вр-ЭЗМ</t>
  </si>
  <si>
    <t>вл.  №Т-48/1</t>
  </si>
  <si>
    <t>вл. №  158/Вр-ЭЗМ</t>
  </si>
  <si>
    <t>вл.  №Т-49</t>
  </si>
  <si>
    <t>вл. №  159-160/Вр-ЭЗМ</t>
  </si>
  <si>
    <t>вл.  №Т-5</t>
  </si>
  <si>
    <t>вл. №  16/Вр-ЭЗМ</t>
  </si>
  <si>
    <t>вл.  №Т-50</t>
  </si>
  <si>
    <t>вл. №  161/Вр-ЭЗМ</t>
  </si>
  <si>
    <t>вл.  №Т-51</t>
  </si>
  <si>
    <t>вл. №  163/Вр-ЭЗМ</t>
  </si>
  <si>
    <t>вл.  №Т-52</t>
  </si>
  <si>
    <t>вл. №  164/Вр-ЭЗМ</t>
  </si>
  <si>
    <t>вл.  №Т-53</t>
  </si>
  <si>
    <t>вл. №  165/Вр-ЭЗМ</t>
  </si>
  <si>
    <t>вл.  №Т-54</t>
  </si>
  <si>
    <t>вл. №  166/Вр-ЭЗМ</t>
  </si>
  <si>
    <t>вл.  №Т-55</t>
  </si>
  <si>
    <t>вл. №  167/Вр-ЭЗМ</t>
  </si>
  <si>
    <t>вл.  №Т-56</t>
  </si>
  <si>
    <t>вл. №  168/Вр-ЭЗМ</t>
  </si>
  <si>
    <t>вл.  №Т-57</t>
  </si>
  <si>
    <t>вл. №  169/Вр-ЭЗМ</t>
  </si>
  <si>
    <t>вл.  №Т-58</t>
  </si>
  <si>
    <t>вл. №  17/Вр-ЭЗМ</t>
  </si>
  <si>
    <t>вл.  №Т-59</t>
  </si>
  <si>
    <t>вл. №  170/Вр-ЭЗМ</t>
  </si>
  <si>
    <t>вл.  №Т-6</t>
  </si>
  <si>
    <t>вл. №  172/Вр-ЭЗМ</t>
  </si>
  <si>
    <t>вл.  №Т-60</t>
  </si>
  <si>
    <t>вл. №  173/Вр-ЭЗМ</t>
  </si>
  <si>
    <t>вл.  №Т-61</t>
  </si>
  <si>
    <t>вл. №  174/Вр-ЭЗМ</t>
  </si>
  <si>
    <t>вл.  №Т-62</t>
  </si>
  <si>
    <t>вл. №  175/Вр-ЭЗМ</t>
  </si>
  <si>
    <t>вл.  №Т-63</t>
  </si>
  <si>
    <t>вл. №  177/Вр-ЭЗМ</t>
  </si>
  <si>
    <t>вл.  №Т-64</t>
  </si>
  <si>
    <t>вл. №  178/Вр-ЭЗМ</t>
  </si>
  <si>
    <t>вл.  №Т-65</t>
  </si>
  <si>
    <t>вл. №  179-180/Вр-ЭЗМ</t>
  </si>
  <si>
    <t>вл.  №Т-67</t>
  </si>
  <si>
    <t>вл. №  18/Вр-ЭЗМ</t>
  </si>
  <si>
    <t>вл.  №Т-68</t>
  </si>
  <si>
    <t>вл. №  181/Вр-ЭЗМ</t>
  </si>
  <si>
    <t>вл.  №Т-69/1</t>
  </si>
  <si>
    <t>вл. №  183/Вр-ЭЗМ</t>
  </si>
  <si>
    <t>вл.  №Т-7/1</t>
  </si>
  <si>
    <t>вл. №  184/Вр-ЭЗМ</t>
  </si>
  <si>
    <t>вл.  №Т-70</t>
  </si>
  <si>
    <t>вл. №  185/Вр-ЭЗМ</t>
  </si>
  <si>
    <t>вл.  №Т-71/1</t>
  </si>
  <si>
    <t>вл. №  186/Вр-ЭЗМ</t>
  </si>
  <si>
    <t>вл.  №Т-72</t>
  </si>
  <si>
    <t>вл. №  187/Вр-ЭЗМ</t>
  </si>
  <si>
    <t>вл.  №Т-73</t>
  </si>
  <si>
    <t>вл. №  188/Вр-ЭЗМ</t>
  </si>
  <si>
    <t>вл.  №Т-74</t>
  </si>
  <si>
    <t>вл. №  189/Вр-ЭЗМ</t>
  </si>
  <si>
    <t>вл.  №Т-75/1</t>
  </si>
  <si>
    <t>вл. №  19/Вр-ЭЗМ</t>
  </si>
  <si>
    <t>вл.  №Т-76</t>
  </si>
  <si>
    <t>вл. №  190/Вр-ЭЗМ</t>
  </si>
  <si>
    <t>вл.  №Т-77</t>
  </si>
  <si>
    <t>вл. №  191/Вр-ЭЗМ</t>
  </si>
  <si>
    <t>вл.  №Т-78</t>
  </si>
  <si>
    <t>вл. №  192/Вр-ЭЗМ</t>
  </si>
  <si>
    <t>вл.  №Т-79</t>
  </si>
  <si>
    <t>вл. №  193/Вр-ЭЗМ</t>
  </si>
  <si>
    <t>вл.  №Т-8</t>
  </si>
  <si>
    <t>вл. №  197/Вр-ЭЗМ</t>
  </si>
  <si>
    <t>вл.  №Т-80</t>
  </si>
  <si>
    <t>вл. №  198/Вр-ЭЗМ</t>
  </si>
  <si>
    <t>вл.  №Т-81</t>
  </si>
  <si>
    <t>вл. №  199/Вр-ЭЗМ</t>
  </si>
  <si>
    <t>вл.  №Т-82</t>
  </si>
  <si>
    <t>вл. №  20/Вр-ЭЗМ</t>
  </si>
  <si>
    <t>вл.  №Т-83</t>
  </si>
  <si>
    <t>вл. №  200/Вр-ЭЗМ</t>
  </si>
  <si>
    <t>вл.  №Т-84</t>
  </si>
  <si>
    <t>вл. №  201/Вр-ЭЗМ</t>
  </si>
  <si>
    <t>вл.  №Т-85</t>
  </si>
  <si>
    <t>вл. №  202/Вр-ЭЗМ</t>
  </si>
  <si>
    <t>вл.  №Т-87</t>
  </si>
  <si>
    <t>вл. №  203/Вр-ЭЗМ</t>
  </si>
  <si>
    <t>вл.  №Т-88</t>
  </si>
  <si>
    <t>вл. №  204/Вр-ЭЗМ</t>
  </si>
  <si>
    <t>вл.  №Т-89</t>
  </si>
  <si>
    <t>вл. №  209/Вр-ЭЗМ</t>
  </si>
  <si>
    <t>вл.  №Т-9</t>
  </si>
  <si>
    <t>вл. №  210/Вр-ЭЗМ</t>
  </si>
  <si>
    <t>вл.  №Т-90</t>
  </si>
  <si>
    <t>вл. №  211/Вр-ЭЗМ</t>
  </si>
  <si>
    <t>вл.  №Т-91</t>
  </si>
  <si>
    <t>вл. №  212/Вр-ЭЗМ</t>
  </si>
  <si>
    <t>вл.  №Т-92</t>
  </si>
  <si>
    <t>вл. №  213/Вр-ЭЗМ/3</t>
  </si>
  <si>
    <t>вл.  №Т-93</t>
  </si>
  <si>
    <t>вл. №  214/Вр-ЭЗМ</t>
  </si>
  <si>
    <t>вл.  №Т-94</t>
  </si>
  <si>
    <t>вл. №  215/Вр-ЭЗМ</t>
  </si>
  <si>
    <t>вл.  №Т-95</t>
  </si>
  <si>
    <t>вл. №  216/Вр-ЭЗМ</t>
  </si>
  <si>
    <t>вл.  №Т-96</t>
  </si>
  <si>
    <t>вл. №  217/Вр-ЭЗМ</t>
  </si>
  <si>
    <t>вл.  №Т-97/1</t>
  </si>
  <si>
    <t>вл. №  218/Вр-ЭЗМ</t>
  </si>
  <si>
    <t>вл.  №Т-98 /1</t>
  </si>
  <si>
    <t>вл. №  21-А/Вр-ЭЗМ</t>
  </si>
  <si>
    <t>вл.  №Т-99</t>
  </si>
  <si>
    <t>вл. №  22/ВР-ЭЗМ</t>
  </si>
  <si>
    <t>вл. №  221/Вр-ЭЗМ</t>
  </si>
  <si>
    <t>вл. №  223/Вр-ЭЗМ</t>
  </si>
  <si>
    <t>вл. №  224/Вр-ЭЗМ/1</t>
  </si>
  <si>
    <t>вл. №  225/Вр-ЭЗМ</t>
  </si>
  <si>
    <t>вл. №  226/Вр-ЭЗМ</t>
  </si>
  <si>
    <t>вл. №  227/Вр-ЭЗМ</t>
  </si>
  <si>
    <t>вл. №  228/Вр-ЭЗМ</t>
  </si>
  <si>
    <t>вл. №  23/Вр-ЭЗМ</t>
  </si>
  <si>
    <t>вл. №  24/Вр-ЭЗМ</t>
  </si>
  <si>
    <t>вл. №  24-а/ВР-ЭЗМ</t>
  </si>
  <si>
    <t>вл. №  25/Вр-ЭЗМ</t>
  </si>
  <si>
    <t>вл. №  26/Вр-ЭЗМ/2</t>
  </si>
  <si>
    <t>вл. №  27/Вр-ЭЗМ</t>
  </si>
  <si>
    <t>вл. №  28/Вр-ЭЗМ</t>
  </si>
  <si>
    <t>вл. №  29/Вр-ЭЗМ</t>
  </si>
  <si>
    <t>вл. №  3/ТО/1</t>
  </si>
  <si>
    <t>вл. №  30/Вр-ЭЗМ</t>
  </si>
  <si>
    <t>вл. №  30/Вр-ЭЗМ/1</t>
  </si>
  <si>
    <t>вл. №  31/Вр-ЭЗМ</t>
  </si>
  <si>
    <t>вл. №  32/Вр-ЭЗМ</t>
  </si>
  <si>
    <t>вл. №  33/Вр-ЭЗМ</t>
  </si>
  <si>
    <t>вл. №  34/Вр-ЭЗМ</t>
  </si>
  <si>
    <t>вл. №  35/Вр-ЭЗМ</t>
  </si>
  <si>
    <t>вл. №  36/Вр-ЭЗМ/1</t>
  </si>
  <si>
    <t>вл. №  37/Вр-ЭЗМ</t>
  </si>
  <si>
    <t>вл. №  38/Вр-ЭЗМ</t>
  </si>
  <si>
    <t>вл. №  39/Вр-ЭЗМ</t>
  </si>
  <si>
    <t>вл. №  40/Вр-ЭЗМ</t>
  </si>
  <si>
    <t>вл. №  41/Вр-ЭЗМ</t>
  </si>
  <si>
    <t>вл. №  42/Вр-ЭЗМ/1</t>
  </si>
  <si>
    <t>вл. №  43/Вр-ЭЗМ</t>
  </si>
  <si>
    <t>вл. №  44/Вр-ЭЗМ</t>
  </si>
  <si>
    <t>вл. №  45/Вр-ЭЗМ</t>
  </si>
  <si>
    <t>вл. №  46/Вр-ЭЗМ</t>
  </si>
  <si>
    <t>вл. №  47/Вр-ЭЗМ</t>
  </si>
  <si>
    <t>вл. №  48/1</t>
  </si>
  <si>
    <t>вл. №  49/Вр-ЭЗМ</t>
  </si>
  <si>
    <t>вл. №  50/Вр-ЭЗМ</t>
  </si>
  <si>
    <t>вл. №  51/Вр-ЭЗМ</t>
  </si>
  <si>
    <t>вл. №  52/Вр-ЭЗМ</t>
  </si>
  <si>
    <t>вл. №  53/Вр-ЭЗМ</t>
  </si>
  <si>
    <t>вл. №  54/1/Вр-ЭЗМ</t>
  </si>
  <si>
    <t>вл. №  54/2/Вр-ЭЗМ</t>
  </si>
  <si>
    <t>вл. №  55/Вр-ЭЗМ</t>
  </si>
  <si>
    <t>вл. №  56/Вр-ЭЗМ</t>
  </si>
  <si>
    <t>вл. №  58/Вр-ЭЗМ</t>
  </si>
  <si>
    <t>вл. №  59/Вр-ЭЗМ</t>
  </si>
  <si>
    <t>вл. №  60/Вр-ЭЗМ</t>
  </si>
  <si>
    <t>вл. №  61/Вр-ЭЗМ</t>
  </si>
  <si>
    <t>вл. №  62/Вр-ЭЗМ</t>
  </si>
  <si>
    <t>вл. №  63/Вр-ЭЗМ</t>
  </si>
  <si>
    <t>вл. №  64/Вр-ЭЗМ</t>
  </si>
  <si>
    <t>вл. №  65/Вр-ЭЗМ</t>
  </si>
  <si>
    <t>вл. №  66/Вр-ЭЗМ</t>
  </si>
  <si>
    <t>вл. №  67/Вр-ЭЗМ</t>
  </si>
  <si>
    <t>вл. №  68/Вр-ЭЗМ</t>
  </si>
  <si>
    <t>вл. №  69/Вр-ЭЗМ</t>
  </si>
  <si>
    <t>вл. №  70/Вр-ЭЗМ</t>
  </si>
  <si>
    <t>вл. №  71/Вр-ЭЗМ</t>
  </si>
  <si>
    <t>вл. №  72/Вр-ЭЗМ</t>
  </si>
  <si>
    <t>вл. №  73/Вр-ЭЗМ</t>
  </si>
  <si>
    <t>вл. №  74/Вр-ЭЗМ</t>
  </si>
  <si>
    <t>вл. №  75/Вр-ЭЗМ</t>
  </si>
  <si>
    <t>вл. №  76/Вр-ЭЗМ</t>
  </si>
  <si>
    <t>вл. №  77/Вр-ЭЗМ</t>
  </si>
  <si>
    <t>вл. №  78/Вр-ЭЗМ /1</t>
  </si>
  <si>
    <t>вл. №  79/Вр-ЭЗМ /1</t>
  </si>
  <si>
    <t>вл. №  80/ЭЗМ</t>
  </si>
  <si>
    <t>вл. №  81/Вр-ЭЗМ</t>
  </si>
  <si>
    <t>вл. №  82/Вр-ЭЗМ</t>
  </si>
  <si>
    <t>вл. №  83/Вр-ЭЗМ</t>
  </si>
  <si>
    <t>вл. №  84/Вр-ЭЗМ/1</t>
  </si>
  <si>
    <t>вл. №  85/Вр-ЭЗМ/2</t>
  </si>
  <si>
    <t>вл. №  86/Вр-ЭЗМ</t>
  </si>
  <si>
    <t>вл. №  87/Вр-ЭЗМ</t>
  </si>
  <si>
    <t>вл. №  88/Вр-ЭЗМ</t>
  </si>
  <si>
    <t>вл. №  89/ВР-ЭЗМ/1</t>
  </si>
  <si>
    <t>вл. №  90/Вр-ЭЗМ</t>
  </si>
  <si>
    <t>вл. №  91/Вр-ЭЗМ</t>
  </si>
  <si>
    <t>вл. №  92/Вр-ЭЗМ</t>
  </si>
  <si>
    <t>вл. №  93/Вр-ЭЗМ</t>
  </si>
  <si>
    <t>вл. №  94/Вр-ЭЗМ</t>
  </si>
  <si>
    <t>вл. №  95/Вр-ЭЗМ</t>
  </si>
  <si>
    <t>вл. №  97/Вр-ЭЗМ/1</t>
  </si>
  <si>
    <t>вл. №  98/Вр-ЭЗМ</t>
  </si>
  <si>
    <t>вл. №  99/Вр-ЭЗМ</t>
  </si>
  <si>
    <t xml:space="preserve">Данная  статья  включает доходы от продажи холодной воды из водозаборного узла поселка     </t>
  </si>
  <si>
    <t xml:space="preserve">АНОО "Ломоносовская школа-Зеленый мыс"  </t>
  </si>
  <si>
    <t xml:space="preserve">Берег  </t>
  </si>
  <si>
    <t xml:space="preserve">Зеленый мыс СПОРТ ООО  </t>
  </si>
  <si>
    <t xml:space="preserve">ООО "Торговый дом "Зеленый остров" </t>
  </si>
  <si>
    <t>2.Прочие доходы от продажи услуг по оформлению пропусков, услуг сантехников, электриков, аренды техники и т.д.</t>
  </si>
  <si>
    <t>Для настройки программы 1с заключен договор со сторонним программистом ИП Ольховик</t>
  </si>
  <si>
    <t>В данной статье собраны расходы на комиссии банку за РКО.</t>
  </si>
  <si>
    <t>Комиссии при оплате платежными картами  через терминал диспетчера- 2.08%, через сайт НП Зеленый Мыс 1.8%, через приложение Домилэнд 1.15%</t>
  </si>
  <si>
    <t xml:space="preserve">Для  учета хозяйственных операций и начисление услуг по ЖКХ используется программ 1с ЖКХ. Для получения консультаций по работе с программой заключен договор с компанией ООО ВДГБ. </t>
  </si>
  <si>
    <t>Обслуживание интернета</t>
  </si>
  <si>
    <t>Правовая система Консультант Плюс</t>
  </si>
  <si>
    <t xml:space="preserve">2. Оплата за доступ к системе  Главбух </t>
  </si>
  <si>
    <t>3. Правовая система Консультант Плюс ( юрист )</t>
  </si>
  <si>
    <t xml:space="preserve">1.  ЭДО  Контур-Экстерн  </t>
  </si>
  <si>
    <t>3. Доходы от шиномонтажа</t>
  </si>
  <si>
    <t>Фактическое поступление ежемесячных членских взносов и коммунальных платежей за ХВС</t>
  </si>
  <si>
    <t>Доходы от реализации холодной воды</t>
  </si>
  <si>
    <t xml:space="preserve">1. Доходы от аренды земельных участков мобильными операторами Теле-2, Мегафон </t>
  </si>
  <si>
    <t>Восстановление цветников, газонов (в т.ч. обслуживание) озеленение.</t>
  </si>
  <si>
    <t>Устранение аварийных ситуаций в общепоселковых сетях</t>
  </si>
  <si>
    <t>Испытания электрических кабелей и трансформаторных подстанций</t>
  </si>
  <si>
    <t>Закупка краски для покраски уличных силовых щитов</t>
  </si>
  <si>
    <t>Устранение аварийных ситуаций</t>
  </si>
  <si>
    <t>Ремонт оборудования, ТО</t>
  </si>
  <si>
    <t>Закупка новогодних игрушек и гирлянд</t>
  </si>
  <si>
    <t>Разработка плана мероприятия по снижению выбрасов при наступлении неблагоприятных метерологических условий</t>
  </si>
  <si>
    <t>Разработка нормативов допустимых выбрасов загрязняющих веществ в атмосферный воздух</t>
  </si>
  <si>
    <t>Отчет по программе экологического контроля (до 25.03.2021)</t>
  </si>
  <si>
    <t>Налог за негативное воздействие на окружающюю среду</t>
  </si>
  <si>
    <t>р/с  Россельхозбанк</t>
  </si>
  <si>
    <t>деп./с  Россельхозбанк</t>
  </si>
  <si>
    <t>Поступления от должников</t>
  </si>
  <si>
    <t>Возмещение судебных издержек</t>
  </si>
  <si>
    <t>Административный персонал (директор,бухгалтерия, юрист, секретариат, диспетчера, водители-экспедиторы, уборщицы)</t>
  </si>
  <si>
    <t>Главный инженер, Техник по учету ресурсов</t>
  </si>
  <si>
    <t>Электрики</t>
  </si>
  <si>
    <t>Сантехники</t>
  </si>
  <si>
    <t>Благоустроители( нач службы, трактористы, рабочие)</t>
  </si>
  <si>
    <t>техник по учету потребляемых ресурсов</t>
  </si>
  <si>
    <t xml:space="preserve">ассистент Правления </t>
  </si>
  <si>
    <t>Взносы в фонды с зарплаты</t>
  </si>
  <si>
    <t>год</t>
  </si>
  <si>
    <t>Премии к праздникам</t>
  </si>
  <si>
    <t xml:space="preserve">руководитель службы эксплуатации </t>
  </si>
  <si>
    <t>Аренда биокабин</t>
  </si>
  <si>
    <t xml:space="preserve">Теплоснабжение и ГВС </t>
  </si>
  <si>
    <t>Теплоснабжение и горячая вода от  ООО Релакс-сервис и ТО теплового оборудования по Договору  ТСН-РС/НП от 01.10.2016г. Аренда биокабин на прогулочной зоне.</t>
  </si>
  <si>
    <t>ТО теплового оборудования</t>
  </si>
  <si>
    <t>Коммунальные расходы</t>
  </si>
  <si>
    <t>2-0011'!A1</t>
  </si>
  <si>
    <t>Доплаты сотрудникам ( праздн. дни, премии, мат. помощь)</t>
  </si>
  <si>
    <t>Данная статья отражает зарплату сотрудникам НП Зеленый Мыс и выплаты физ. лицам по договорам</t>
  </si>
  <si>
    <t xml:space="preserve">Шиномонтаж жителям </t>
  </si>
  <si>
    <t>НП оказывает услуги шиномонтажа жителям, сотрудникам и проч. на платной основе. 50% дохода НП выплачивает сотруднику по договору ГПХ.</t>
  </si>
  <si>
    <t>Закупка посадочного материала, удобрений, инструмента, подсадка, земля, мелиорация</t>
  </si>
  <si>
    <t>Аварийный ремонт</t>
  </si>
  <si>
    <t>Транспортный налог</t>
  </si>
  <si>
    <t>Страхование ТС, транспортный налог</t>
  </si>
  <si>
    <t>Покупка автомобиля</t>
  </si>
  <si>
    <t>Сезонный ремонт теннисных кортов</t>
  </si>
  <si>
    <t>оплата госпошлин для получения справок и заключение для согласование проекта НДВ в надзорных органах (ЦУГМС, ФБУЗ ЦГиЭ)</t>
  </si>
  <si>
    <t>Замеры ПДВ замеры для организованных источников ИЗА</t>
  </si>
  <si>
    <t>Общепоселковые Мероприятия</t>
  </si>
  <si>
    <t>Услуги связи, интернет и почтовые услуги</t>
  </si>
  <si>
    <t>Сервитут</t>
  </si>
  <si>
    <t>Вознаграждение от провайдеров, аренда от МТС</t>
  </si>
  <si>
    <t>Покупка , ремонт, расх. материалы</t>
  </si>
  <si>
    <t xml:space="preserve">Оплата домена, хостинга, </t>
  </si>
  <si>
    <t>Доплаты за работу в праздн. дни, компенсация питания</t>
  </si>
  <si>
    <t>Мат. помощь к отпуску, компенсация услуг связи</t>
  </si>
  <si>
    <t>5. Вознаграждение от провайдеров интернета МТС и ЛОИС-нет, аренда оборудования МТС ( 15000-00)</t>
  </si>
  <si>
    <t xml:space="preserve">Ежемесячное ТО ОПС  </t>
  </si>
  <si>
    <t>оплата тревожной кнопки</t>
  </si>
  <si>
    <t>Услуги связи НП Зеленый Мыс оказывает МТС ( офисная телефоны) и  ОАО Вымпелком (телефон диспетчерской). Ежемесячные расходы составляют в среднем 11000-00. На почтовые услуги расходуется в среднем 3000-00 руб в месяц, интернет 1000 руб. мес.</t>
  </si>
  <si>
    <t xml:space="preserve">На территории поселка находятся юр. лица, с которыми НП заключил договора на эксплутационные услуги </t>
  </si>
  <si>
    <t>ООО "Релакс-Сервис"</t>
  </si>
  <si>
    <t xml:space="preserve">ООО "ЭЛЛИНГ"  </t>
  </si>
  <si>
    <t>4. Дходы от оказания  эксплутационных услуг юридическим лицам на территории поселка, жителям КРК</t>
  </si>
  <si>
    <t>Данная  статья  включает фактическую собираемость ежемесячных членских взносов  и коммунальных платежей</t>
  </si>
  <si>
    <t>НП Зеленый Мыс арендует помещения у компаний ООО Релакс-сервис , ООО Эллинг и ООО УКН .</t>
  </si>
  <si>
    <t>Домилэнд (3 мес)</t>
  </si>
  <si>
    <t xml:space="preserve">Госпошлина за выдачу судебного приказа к должнику </t>
  </si>
  <si>
    <t>НП Зеленый Мыс арендует земельный участок у компании ООО Эллинг для стоянки под технику. Стоимость аренды по требованию арендодателя 56857 руб в месяц.</t>
  </si>
  <si>
    <t>Устройство, ремонт детских, спортивных площадок.</t>
  </si>
  <si>
    <t>Покупка легкового автомобился для слубы главного инженера типа Ларгус</t>
  </si>
  <si>
    <t>Ямочный ремонт</t>
  </si>
  <si>
    <t>Оплата сис. Администратору по договору</t>
  </si>
  <si>
    <t>сервитут</t>
  </si>
  <si>
    <t>Ежемесячный платеж</t>
  </si>
  <si>
    <t>ВСЕГО с учетом входящего сальдо на 01.01.2025 года и депозита</t>
  </si>
  <si>
    <t>Финансовый план (бюджет) НП "Зеленый мыс" на 2025 год</t>
  </si>
  <si>
    <t>Остаток денежных средств на 01.01.2025 г. (входящее сальдо)</t>
  </si>
  <si>
    <t>НП "Зеленый Мыс"   планирует разместить в Россельхозбанке депозит . Срок  его размещения -ежемесячно до конца года с уменьшением  с июня месяца до 5 млн</t>
  </si>
  <si>
    <t>Лазурный берег ( ИП Гусева )</t>
  </si>
  <si>
    <t>Услуги по озеленению</t>
  </si>
  <si>
    <t>Остатки денежных средств на 01.01.2025г.:</t>
  </si>
  <si>
    <t>Обслуживание   камер системы видеонаблюдения (покупка и ремонт камер, ПО и сервер, работы)</t>
  </si>
  <si>
    <t>Проект освоения лесов, Лесопатологич. Обследование, САН РУБКА</t>
  </si>
  <si>
    <t>Проведение МЕРОПРИЯТИЙ (НГ, МАСЛЕНИЦА, 9 МАЯ)</t>
  </si>
  <si>
    <t>Проектирование и модернизация ВЗУ в т.ч. ТО</t>
  </si>
  <si>
    <t>Пректирование и модернизация</t>
  </si>
  <si>
    <t>Локальная промывка питьевого трубопровода и полня промывка РЧВ</t>
  </si>
  <si>
    <t>Анализ воды</t>
  </si>
  <si>
    <t>Вывоз снега</t>
  </si>
  <si>
    <t>Ремонт хоккейной коробки ( замена бортиков, асфальтирование площадки)</t>
  </si>
  <si>
    <t>Вывоз крупногабаритного мусора</t>
  </si>
  <si>
    <t>АХК</t>
  </si>
  <si>
    <t>Эллинг КТО</t>
  </si>
  <si>
    <t xml:space="preserve">Аренда помещений охраны ,  диспетчера и кассы  в зданиии административно-хозяйственного комплекса у ООО "Релакс-Сервис"  </t>
  </si>
  <si>
    <t xml:space="preserve">Аренда помещения для офиса и производственных площадок у ООО "ЭЛЛИНГ" </t>
  </si>
  <si>
    <t xml:space="preserve">Аренда помещения для серверной у ООО "УКН" </t>
  </si>
  <si>
    <t>Серверная КРК</t>
  </si>
  <si>
    <t>Модернизация и обсл-ие СКУД (Ремонты, ТО, покпка новых шлагбаумов, модернизация КПП-3)</t>
  </si>
  <si>
    <t>Система контроля доступа КПП ( ТО)</t>
  </si>
  <si>
    <t>Исполнительный директор</t>
  </si>
  <si>
    <t>НП "Зеленый мыс"</t>
  </si>
  <si>
    <t>Столбовских О.В.</t>
  </si>
  <si>
    <t xml:space="preserve">                                                         приложение 1-1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</si>
</sst>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"/>
    <numFmt numFmtId="167" formatCode="#,##0_ ;[Red]\-#,##0\ "/>
    <numFmt numFmtId="168" formatCode="#,##0.00_ ;[Red]\-#,##0.00\ "/>
    <numFmt numFmtId="169" formatCode="#,##0.00&quot;р.&quot;"/>
    <numFmt numFmtId="170" formatCode="_-* #,##0_р_._-;\-* #,##0_р_._-;_-* &quot;-&quot;??_р_._-;_-@_-"/>
    <numFmt numFmtId="171" formatCode="_(* #,##0.00_);_(* \(#,##0.00\);_(* &quot;-&quot;??_);_(@_)"/>
    <numFmt numFmtId="172" formatCode="0.000"/>
    <numFmt numFmtId="173" formatCode="#,##0.00\ &quot;₽&quot;"/>
    <numFmt numFmtId="174" formatCode="0.0%"/>
    <numFmt numFmtId="175" formatCode="#,##0_ ;\-#,##0\ "/>
  </numFmts>
  <fonts count="7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b/>
      <i/>
      <sz val="12"/>
      <name val="Arial Cyr"/>
    </font>
    <font>
      <sz val="10"/>
      <color rgb="FFFF0000"/>
      <name val="Arial Cyr"/>
    </font>
    <font>
      <b/>
      <sz val="10"/>
      <color rgb="FFFF0000"/>
      <name val="Arial Cyr"/>
    </font>
    <font>
      <sz val="8"/>
      <color rgb="FFFF0000"/>
      <name val="Arial Cyr"/>
      <charset val="204"/>
    </font>
    <font>
      <b/>
      <i/>
      <sz val="14"/>
      <name val="Arial Cyr"/>
    </font>
    <font>
      <b/>
      <sz val="10"/>
      <name val="SvobodaFWF"/>
    </font>
    <font>
      <sz val="10"/>
      <name val="Helve Cyr"/>
      <charset val="204"/>
    </font>
    <font>
      <b/>
      <i/>
      <u/>
      <sz val="14"/>
      <name val="Arial CYR"/>
    </font>
    <font>
      <b/>
      <i/>
      <sz val="12"/>
      <name val="Arial"/>
      <family val="2"/>
      <charset val="204"/>
    </font>
    <font>
      <b/>
      <i/>
      <sz val="12"/>
      <name val="Arial Cyr"/>
      <charset val="204"/>
    </font>
    <font>
      <b/>
      <i/>
      <sz val="12"/>
      <color rgb="FF0070C0"/>
      <name val="Arial Cyr"/>
      <charset val="204"/>
    </font>
    <font>
      <b/>
      <sz val="12"/>
      <name val="Arial Cyr"/>
      <charset val="204"/>
    </font>
    <font>
      <b/>
      <sz val="12"/>
      <color rgb="FF0070C0"/>
      <name val="Arial Cyr"/>
      <charset val="204"/>
    </font>
    <font>
      <sz val="12"/>
      <name val="Arial Cyr"/>
      <charset val="204"/>
    </font>
    <font>
      <sz val="14"/>
      <name val="Arial CYR"/>
    </font>
    <font>
      <sz val="10"/>
      <name val="Arial"/>
      <family val="2"/>
      <charset val="204"/>
    </font>
    <font>
      <b/>
      <i/>
      <sz val="11"/>
      <name val="Arial Cyr"/>
      <charset val="204"/>
    </font>
    <font>
      <sz val="16"/>
      <name val="Arial Cyr"/>
      <charset val="204"/>
    </font>
    <font>
      <sz val="10"/>
      <color indexed="10"/>
      <name val="Arial Cyr"/>
      <charset val="204"/>
    </font>
    <font>
      <b/>
      <i/>
      <sz val="9"/>
      <name val="Arial Cyr"/>
      <charset val="204"/>
    </font>
    <font>
      <b/>
      <sz val="11"/>
      <name val="Arial Cyr"/>
      <charset val="204"/>
    </font>
    <font>
      <i/>
      <sz val="11"/>
      <name val="Arial Cyr"/>
      <charset val="204"/>
    </font>
    <font>
      <sz val="8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sz val="12"/>
      <name val="Arial"/>
      <family val="2"/>
      <charset val="204"/>
    </font>
    <font>
      <sz val="10"/>
      <color theme="1"/>
      <name val="Arial"/>
      <family val="2"/>
      <charset val="204"/>
    </font>
    <font>
      <sz val="9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9"/>
      <name val="Arial Cyr"/>
      <charset val="204"/>
    </font>
    <font>
      <b/>
      <sz val="9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9"/>
      <name val="Arial Cyr"/>
      <charset val="204"/>
    </font>
    <font>
      <b/>
      <sz val="10"/>
      <name val="Arial Cyr"/>
      <charset val="204"/>
    </font>
    <font>
      <b/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u/>
      <sz val="12"/>
      <color theme="1"/>
      <name val="Arial"/>
      <family val="2"/>
      <charset val="204"/>
    </font>
    <font>
      <b/>
      <i/>
      <u/>
      <sz val="14"/>
      <color theme="1"/>
      <name val="Arial"/>
      <family val="2"/>
      <charset val="204"/>
    </font>
    <font>
      <b/>
      <i/>
      <sz val="14"/>
      <name val="Arial"/>
      <family val="2"/>
      <charset val="204"/>
    </font>
    <font>
      <sz val="12"/>
      <name val="Calibri"/>
      <family val="2"/>
      <charset val="204"/>
      <scheme val="minor"/>
    </font>
    <font>
      <b/>
      <i/>
      <sz val="12"/>
      <color theme="10"/>
      <name val="Arial"/>
      <family val="2"/>
      <charset val="204"/>
    </font>
    <font>
      <b/>
      <i/>
      <u/>
      <sz val="12"/>
      <name val="Arial"/>
      <family val="2"/>
      <charset val="204"/>
    </font>
    <font>
      <sz val="11"/>
      <color theme="1"/>
      <name val="Times New Roman"/>
      <family val="1"/>
      <charset val="204"/>
    </font>
    <font>
      <b/>
      <i/>
      <sz val="9"/>
      <name val="Arial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2"/>
      <color rgb="FF4D4D4D"/>
      <name val="Arial"/>
      <family val="2"/>
      <charset val="204"/>
    </font>
    <font>
      <sz val="12"/>
      <color rgb="FF333333"/>
      <name val="Arial"/>
      <family val="2"/>
      <charset val="204"/>
    </font>
    <font>
      <sz val="12"/>
      <color rgb="FF333333"/>
      <name val="Arial"/>
      <family val="2"/>
    </font>
    <font>
      <sz val="10"/>
      <color rgb="FF4D4D4D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i/>
      <sz val="14"/>
      <color theme="1"/>
      <name val="Calibri"/>
      <family val="2"/>
      <charset val="204"/>
      <scheme val="minor"/>
    </font>
    <font>
      <b/>
      <sz val="10"/>
      <color rgb="FFFF000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8"/>
      <name val="Times New Roman"/>
      <family val="1"/>
    </font>
    <font>
      <sz val="14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BEF8FE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rgb="FFBEF8FE"/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9" tint="0.59999389629810485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26"/>
      </left>
      <right/>
      <top/>
      <bottom style="thin">
        <color indexed="26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2" fillId="0" borderId="0"/>
    <xf numFmtId="0" fontId="7" fillId="0" borderId="0"/>
    <xf numFmtId="165" fontId="7" fillId="0" borderId="0" applyFont="0" applyFill="0" applyBorder="0" applyAlignment="0" applyProtection="0"/>
    <xf numFmtId="0" fontId="13" fillId="0" borderId="8" applyNumberFormat="0" applyBorder="0">
      <alignment horizontal="centerContinuous"/>
    </xf>
    <xf numFmtId="0" fontId="14" fillId="0" borderId="0"/>
    <xf numFmtId="171" fontId="7" fillId="0" borderId="0" applyFont="0" applyFill="0" applyBorder="0" applyAlignment="0" applyProtection="0"/>
    <xf numFmtId="0" fontId="4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/>
  </cellStyleXfs>
  <cellXfs count="708">
    <xf numFmtId="0" fontId="0" fillId="0" borderId="0" xfId="0"/>
    <xf numFmtId="3" fontId="3" fillId="2" borderId="0" xfId="0" applyNumberFormat="1" applyFont="1" applyFill="1"/>
    <xf numFmtId="0" fontId="3" fillId="0" borderId="0" xfId="0" applyFont="1"/>
    <xf numFmtId="166" fontId="3" fillId="2" borderId="0" xfId="0" applyNumberFormat="1" applyFont="1" applyFill="1"/>
    <xf numFmtId="3" fontId="3" fillId="0" borderId="0" xfId="0" applyNumberFormat="1" applyFont="1"/>
    <xf numFmtId="3" fontId="3" fillId="2" borderId="0" xfId="0" applyNumberFormat="1" applyFont="1" applyFill="1" applyAlignment="1">
      <alignment horizontal="right" wrapText="1"/>
    </xf>
    <xf numFmtId="0" fontId="3" fillId="2" borderId="0" xfId="0" applyFont="1" applyFill="1"/>
    <xf numFmtId="166" fontId="3" fillId="0" borderId="0" xfId="0" applyNumberFormat="1" applyFont="1"/>
    <xf numFmtId="168" fontId="3" fillId="0" borderId="0" xfId="0" applyNumberFormat="1" applyFont="1"/>
    <xf numFmtId="0" fontId="3" fillId="0" borderId="0" xfId="0" applyFont="1" applyAlignment="1">
      <alignment vertical="center"/>
    </xf>
    <xf numFmtId="0" fontId="7" fillId="0" borderId="0" xfId="4"/>
    <xf numFmtId="0" fontId="8" fillId="0" borderId="0" xfId="4" applyFont="1" applyAlignment="1">
      <alignment vertical="center"/>
    </xf>
    <xf numFmtId="0" fontId="9" fillId="0" borderId="0" xfId="4" applyFont="1" applyAlignment="1">
      <alignment vertical="center" wrapText="1"/>
    </xf>
    <xf numFmtId="169" fontId="10" fillId="0" borderId="0" xfId="4" applyNumberFormat="1" applyFont="1" applyAlignment="1">
      <alignment vertical="center" wrapText="1"/>
    </xf>
    <xf numFmtId="0" fontId="11" fillId="0" borderId="0" xfId="4" applyFont="1" applyAlignment="1">
      <alignment vertical="center"/>
    </xf>
    <xf numFmtId="0" fontId="7" fillId="0" borderId="0" xfId="4" applyAlignment="1">
      <alignment vertical="center" wrapText="1"/>
    </xf>
    <xf numFmtId="0" fontId="7" fillId="2" borderId="0" xfId="4" applyFill="1" applyAlignment="1">
      <alignment vertical="center" wrapText="1"/>
    </xf>
    <xf numFmtId="169" fontId="7" fillId="2" borderId="0" xfId="4" applyNumberFormat="1" applyFill="1" applyAlignment="1">
      <alignment vertical="center" wrapText="1"/>
    </xf>
    <xf numFmtId="0" fontId="7" fillId="0" borderId="0" xfId="4" applyAlignment="1">
      <alignment wrapText="1"/>
    </xf>
    <xf numFmtId="170" fontId="12" fillId="0" borderId="0" xfId="5" applyNumberFormat="1" applyFont="1" applyAlignment="1">
      <alignment wrapText="1"/>
    </xf>
    <xf numFmtId="170" fontId="7" fillId="0" borderId="0" xfId="5" applyNumberFormat="1" applyFont="1"/>
    <xf numFmtId="0" fontId="15" fillId="0" borderId="0" xfId="4" applyFont="1"/>
    <xf numFmtId="0" fontId="17" fillId="0" borderId="0" xfId="4" applyFont="1"/>
    <xf numFmtId="0" fontId="18" fillId="0" borderId="0" xfId="4" applyFont="1"/>
    <xf numFmtId="170" fontId="17" fillId="0" borderId="0" xfId="5" applyNumberFormat="1" applyFont="1"/>
    <xf numFmtId="0" fontId="19" fillId="0" borderId="0" xfId="4" applyFont="1"/>
    <xf numFmtId="0" fontId="20" fillId="0" borderId="0" xfId="4" applyFont="1"/>
    <xf numFmtId="17" fontId="19" fillId="0" borderId="0" xfId="4" applyNumberFormat="1" applyFont="1"/>
    <xf numFmtId="170" fontId="19" fillId="0" borderId="0" xfId="4" applyNumberFormat="1" applyFont="1"/>
    <xf numFmtId="0" fontId="21" fillId="0" borderId="0" xfId="4" applyFont="1"/>
    <xf numFmtId="0" fontId="22" fillId="0" borderId="0" xfId="4" applyFont="1"/>
    <xf numFmtId="9" fontId="17" fillId="0" borderId="0" xfId="4" applyNumberFormat="1" applyFont="1" applyAlignment="1">
      <alignment vertical="center" wrapText="1"/>
    </xf>
    <xf numFmtId="9" fontId="17" fillId="0" borderId="0" xfId="4" applyNumberFormat="1" applyFont="1" applyAlignment="1">
      <alignment wrapText="1"/>
    </xf>
    <xf numFmtId="0" fontId="25" fillId="0" borderId="0" xfId="4" applyFont="1"/>
    <xf numFmtId="0" fontId="17" fillId="0" borderId="0" xfId="4" applyFont="1" applyAlignment="1">
      <alignment horizontal="justify" vertical="center" wrapText="1"/>
    </xf>
    <xf numFmtId="0" fontId="26" fillId="0" borderId="0" xfId="4" applyFont="1"/>
    <xf numFmtId="0" fontId="18" fillId="0" borderId="0" xfId="4" applyFont="1" applyAlignment="1">
      <alignment vertical="center" wrapText="1"/>
    </xf>
    <xf numFmtId="0" fontId="17" fillId="0" borderId="0" xfId="4" applyFont="1" applyAlignment="1">
      <alignment horizontal="left" vertical="center" wrapText="1"/>
    </xf>
    <xf numFmtId="0" fontId="27" fillId="0" borderId="0" xfId="4" applyFont="1" applyAlignment="1">
      <alignment horizontal="center" vertical="center" wrapText="1"/>
    </xf>
    <xf numFmtId="0" fontId="17" fillId="0" borderId="0" xfId="4" applyFont="1" applyAlignment="1">
      <alignment horizontal="right" vertical="center" wrapText="1"/>
    </xf>
    <xf numFmtId="0" fontId="8" fillId="0" borderId="0" xfId="4" applyFont="1"/>
    <xf numFmtId="0" fontId="19" fillId="0" borderId="0" xfId="0" applyFont="1"/>
    <xf numFmtId="0" fontId="7" fillId="2" borderId="0" xfId="4" applyFill="1"/>
    <xf numFmtId="0" fontId="8" fillId="0" borderId="0" xfId="4" applyFont="1" applyAlignment="1">
      <alignment vertical="center" wrapText="1"/>
    </xf>
    <xf numFmtId="0" fontId="6" fillId="0" borderId="0" xfId="0" applyFont="1"/>
    <xf numFmtId="0" fontId="6" fillId="2" borderId="0" xfId="0" applyFont="1" applyFill="1"/>
    <xf numFmtId="0" fontId="28" fillId="0" borderId="0" xfId="4" applyFont="1"/>
    <xf numFmtId="164" fontId="28" fillId="0" borderId="0" xfId="4" applyNumberFormat="1" applyFont="1"/>
    <xf numFmtId="0" fontId="29" fillId="0" borderId="0" xfId="4" applyFont="1"/>
    <xf numFmtId="164" fontId="29" fillId="0" borderId="0" xfId="4" applyNumberFormat="1" applyFont="1"/>
    <xf numFmtId="0" fontId="24" fillId="0" borderId="0" xfId="4" applyFont="1"/>
    <xf numFmtId="0" fontId="30" fillId="0" borderId="0" xfId="0" applyFont="1" applyAlignment="1">
      <alignment wrapText="1"/>
    </xf>
    <xf numFmtId="3" fontId="30" fillId="0" borderId="0" xfId="0" applyNumberFormat="1" applyFont="1" applyAlignment="1">
      <alignment wrapText="1"/>
    </xf>
    <xf numFmtId="4" fontId="3" fillId="2" borderId="0" xfId="0" applyNumberFormat="1" applyFont="1" applyFill="1"/>
    <xf numFmtId="0" fontId="22" fillId="2" borderId="0" xfId="4" applyFont="1" applyFill="1"/>
    <xf numFmtId="0" fontId="31" fillId="0" borderId="2" xfId="0" applyFont="1" applyBorder="1"/>
    <xf numFmtId="0" fontId="5" fillId="0" borderId="0" xfId="0" applyFont="1"/>
    <xf numFmtId="0" fontId="35" fillId="0" borderId="0" xfId="0" applyFont="1" applyAlignment="1">
      <alignment wrapText="1"/>
    </xf>
    <xf numFmtId="3" fontId="5" fillId="2" borderId="0" xfId="0" applyNumberFormat="1" applyFont="1" applyFill="1"/>
    <xf numFmtId="0" fontId="7" fillId="0" borderId="0" xfId="4" applyAlignment="1">
      <alignment horizontal="center"/>
    </xf>
    <xf numFmtId="0" fontId="32" fillId="2" borderId="1" xfId="0" applyFont="1" applyFill="1" applyBorder="1" applyAlignment="1">
      <alignment horizontal="left" wrapText="1"/>
    </xf>
    <xf numFmtId="0" fontId="32" fillId="2" borderId="1" xfId="0" applyFont="1" applyFill="1" applyBorder="1" applyAlignment="1">
      <alignment horizontal="center" wrapText="1"/>
    </xf>
    <xf numFmtId="0" fontId="7" fillId="2" borderId="1" xfId="4" applyFill="1" applyBorder="1"/>
    <xf numFmtId="0" fontId="34" fillId="2" borderId="1" xfId="0" applyFont="1" applyFill="1" applyBorder="1" applyAlignment="1">
      <alignment horizontal="left" vertical="top" wrapText="1" indent="1"/>
    </xf>
    <xf numFmtId="4" fontId="34" fillId="2" borderId="1" xfId="0" applyNumberFormat="1" applyFont="1" applyFill="1" applyBorder="1" applyAlignment="1">
      <alignment horizontal="right" vertical="top" wrapText="1"/>
    </xf>
    <xf numFmtId="0" fontId="34" fillId="2" borderId="1" xfId="0" applyFont="1" applyFill="1" applyBorder="1" applyAlignment="1">
      <alignment horizontal="right" vertical="top" wrapText="1"/>
    </xf>
    <xf numFmtId="0" fontId="32" fillId="2" borderId="1" xfId="4" applyFont="1" applyFill="1" applyBorder="1" applyAlignment="1">
      <alignment horizontal="center"/>
    </xf>
    <xf numFmtId="0" fontId="0" fillId="0" borderId="1" xfId="0" applyBorder="1"/>
    <xf numFmtId="4" fontId="36" fillId="0" borderId="1" xfId="0" applyNumberFormat="1" applyFont="1" applyBorder="1" applyAlignment="1">
      <alignment horizontal="right" vertical="top" wrapText="1"/>
    </xf>
    <xf numFmtId="0" fontId="7" fillId="0" borderId="1" xfId="4" applyBorder="1"/>
    <xf numFmtId="0" fontId="31" fillId="0" borderId="11" xfId="0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3" fontId="23" fillId="0" borderId="1" xfId="0" applyNumberFormat="1" applyFont="1" applyBorder="1"/>
    <xf numFmtId="0" fontId="23" fillId="0" borderId="1" xfId="0" applyFont="1" applyBorder="1"/>
    <xf numFmtId="0" fontId="23" fillId="0" borderId="1" xfId="0" applyFont="1" applyBorder="1" applyAlignment="1">
      <alignment horizontal="center"/>
    </xf>
    <xf numFmtId="167" fontId="35" fillId="0" borderId="1" xfId="0" applyNumberFormat="1" applyFont="1" applyBorder="1"/>
    <xf numFmtId="9" fontId="23" fillId="0" borderId="1" xfId="0" applyNumberFormat="1" applyFont="1" applyBorder="1"/>
    <xf numFmtId="4" fontId="33" fillId="0" borderId="1" xfId="9" applyNumberFormat="1" applyFont="1" applyBorder="1" applyAlignment="1">
      <alignment horizontal="right" vertical="top" wrapText="1"/>
    </xf>
    <xf numFmtId="4" fontId="23" fillId="0" borderId="10" xfId="1" applyNumberFormat="1" applyFont="1" applyBorder="1" applyAlignment="1">
      <alignment horizontal="right"/>
    </xf>
    <xf numFmtId="4" fontId="23" fillId="0" borderId="11" xfId="1" applyNumberFormat="1" applyFont="1" applyBorder="1" applyAlignment="1">
      <alignment horizontal="right"/>
    </xf>
    <xf numFmtId="4" fontId="36" fillId="0" borderId="13" xfId="0" applyNumberFormat="1" applyFont="1" applyBorder="1" applyAlignment="1">
      <alignment horizontal="right" vertical="top" wrapText="1"/>
    </xf>
    <xf numFmtId="4" fontId="33" fillId="0" borderId="1" xfId="0" applyNumberFormat="1" applyFont="1" applyBorder="1" applyAlignment="1">
      <alignment horizontal="right" vertical="top" wrapText="1"/>
    </xf>
    <xf numFmtId="2" fontId="43" fillId="0" borderId="1" xfId="4" applyNumberFormat="1" applyFont="1" applyBorder="1"/>
    <xf numFmtId="4" fontId="7" fillId="0" borderId="1" xfId="4" applyNumberFormat="1" applyBorder="1" applyAlignment="1">
      <alignment horizontal="center" vertical="center"/>
    </xf>
    <xf numFmtId="4" fontId="33" fillId="0" borderId="1" xfId="0" applyNumberFormat="1" applyFont="1" applyBorder="1" applyAlignment="1">
      <alignment horizontal="center" vertical="center" wrapText="1"/>
    </xf>
    <xf numFmtId="4" fontId="36" fillId="0" borderId="21" xfId="0" applyNumberFormat="1" applyFont="1" applyBorder="1" applyAlignment="1">
      <alignment horizontal="right" vertical="top" wrapText="1"/>
    </xf>
    <xf numFmtId="0" fontId="19" fillId="0" borderId="21" xfId="4" applyFont="1" applyBorder="1" applyAlignment="1">
      <alignment horizontal="center"/>
    </xf>
    <xf numFmtId="0" fontId="7" fillId="0" borderId="21" xfId="4" applyBorder="1" applyAlignment="1">
      <alignment horizontal="center"/>
    </xf>
    <xf numFmtId="0" fontId="7" fillId="0" borderId="13" xfId="4" applyBorder="1"/>
    <xf numFmtId="0" fontId="37" fillId="5" borderId="14" xfId="0" applyFont="1" applyFill="1" applyBorder="1" applyAlignment="1">
      <alignment horizontal="center"/>
    </xf>
    <xf numFmtId="4" fontId="44" fillId="5" borderId="1" xfId="0" applyNumberFormat="1" applyFont="1" applyFill="1" applyBorder="1" applyAlignment="1">
      <alignment horizontal="right" vertical="top" wrapText="1"/>
    </xf>
    <xf numFmtId="4" fontId="33" fillId="2" borderId="1" xfId="0" applyNumberFormat="1" applyFont="1" applyFill="1" applyBorder="1" applyAlignment="1">
      <alignment horizontal="right" vertical="top" wrapText="1"/>
    </xf>
    <xf numFmtId="3" fontId="33" fillId="2" borderId="1" xfId="4" applyNumberFormat="1" applyFont="1" applyFill="1" applyBorder="1"/>
    <xf numFmtId="4" fontId="36" fillId="2" borderId="1" xfId="0" applyNumberFormat="1" applyFont="1" applyFill="1" applyBorder="1" applyAlignment="1">
      <alignment horizontal="right" vertical="top" wrapText="1"/>
    </xf>
    <xf numFmtId="4" fontId="44" fillId="5" borderId="22" xfId="0" applyNumberFormat="1" applyFont="1" applyFill="1" applyBorder="1" applyAlignment="1">
      <alignment horizontal="right" vertical="top" wrapText="1"/>
    </xf>
    <xf numFmtId="4" fontId="44" fillId="5" borderId="24" xfId="0" applyNumberFormat="1" applyFont="1" applyFill="1" applyBorder="1" applyAlignment="1">
      <alignment horizontal="right" vertical="top" wrapText="1"/>
    </xf>
    <xf numFmtId="0" fontId="7" fillId="5" borderId="23" xfId="4" applyFill="1" applyBorder="1"/>
    <xf numFmtId="4" fontId="33" fillId="2" borderId="1" xfId="4" applyNumberFormat="1" applyFont="1" applyFill="1" applyBorder="1"/>
    <xf numFmtId="4" fontId="33" fillId="5" borderId="1" xfId="0" applyNumberFormat="1" applyFont="1" applyFill="1" applyBorder="1" applyAlignment="1">
      <alignment horizontal="center" vertical="center" wrapText="1"/>
    </xf>
    <xf numFmtId="4" fontId="7" fillId="5" borderId="1" xfId="4" applyNumberFormat="1" applyFill="1" applyBorder="1" applyAlignment="1">
      <alignment horizontal="center" vertical="center"/>
    </xf>
    <xf numFmtId="4" fontId="44" fillId="5" borderId="20" xfId="0" applyNumberFormat="1" applyFont="1" applyFill="1" applyBorder="1" applyAlignment="1">
      <alignment horizontal="right" vertical="top" wrapText="1"/>
    </xf>
    <xf numFmtId="3" fontId="31" fillId="5" borderId="1" xfId="0" applyNumberFormat="1" applyFont="1" applyFill="1" applyBorder="1"/>
    <xf numFmtId="0" fontId="7" fillId="0" borderId="21" xfId="4" applyBorder="1"/>
    <xf numFmtId="4" fontId="44" fillId="5" borderId="23" xfId="0" applyNumberFormat="1" applyFont="1" applyFill="1" applyBorder="1" applyAlignment="1">
      <alignment horizontal="right" vertical="top" wrapText="1"/>
    </xf>
    <xf numFmtId="2" fontId="43" fillId="0" borderId="21" xfId="4" applyNumberFormat="1" applyFont="1" applyBorder="1"/>
    <xf numFmtId="4" fontId="36" fillId="5" borderId="25" xfId="0" applyNumberFormat="1" applyFont="1" applyFill="1" applyBorder="1" applyAlignment="1">
      <alignment horizontal="right" vertical="top" wrapText="1"/>
    </xf>
    <xf numFmtId="0" fontId="7" fillId="5" borderId="25" xfId="4" applyFill="1" applyBorder="1"/>
    <xf numFmtId="0" fontId="7" fillId="0" borderId="20" xfId="4" applyBorder="1"/>
    <xf numFmtId="4" fontId="44" fillId="5" borderId="25" xfId="0" applyNumberFormat="1" applyFont="1" applyFill="1" applyBorder="1" applyAlignment="1">
      <alignment horizontal="right" vertical="top" wrapText="1"/>
    </xf>
    <xf numFmtId="4" fontId="7" fillId="0" borderId="13" xfId="4" applyNumberFormat="1" applyBorder="1" applyAlignment="1">
      <alignment horizontal="center" vertical="center"/>
    </xf>
    <xf numFmtId="4" fontId="33" fillId="0" borderId="13" xfId="0" applyNumberFormat="1" applyFont="1" applyBorder="1" applyAlignment="1">
      <alignment horizontal="center" vertical="center" wrapText="1"/>
    </xf>
    <xf numFmtId="4" fontId="7" fillId="0" borderId="21" xfId="4" applyNumberFormat="1" applyBorder="1" applyAlignment="1">
      <alignment horizontal="center" vertical="center"/>
    </xf>
    <xf numFmtId="4" fontId="33" fillId="0" borderId="21" xfId="0" applyNumberFormat="1" applyFont="1" applyBorder="1" applyAlignment="1">
      <alignment horizontal="center" vertical="center" wrapText="1"/>
    </xf>
    <xf numFmtId="3" fontId="23" fillId="0" borderId="21" xfId="0" applyNumberFormat="1" applyFont="1" applyBorder="1"/>
    <xf numFmtId="3" fontId="23" fillId="0" borderId="13" xfId="0" applyNumberFormat="1" applyFont="1" applyBorder="1"/>
    <xf numFmtId="0" fontId="31" fillId="0" borderId="24" xfId="0" applyFont="1" applyBorder="1" applyAlignment="1">
      <alignment horizontal="center"/>
    </xf>
    <xf numFmtId="3" fontId="31" fillId="5" borderId="22" xfId="0" applyNumberFormat="1" applyFont="1" applyFill="1" applyBorder="1"/>
    <xf numFmtId="0" fontId="6" fillId="0" borderId="26" xfId="0" applyFont="1" applyBorder="1"/>
    <xf numFmtId="0" fontId="38" fillId="2" borderId="31" xfId="0" applyFont="1" applyFill="1" applyBorder="1" applyAlignment="1">
      <alignment wrapText="1"/>
    </xf>
    <xf numFmtId="0" fontId="38" fillId="2" borderId="32" xfId="0" applyFont="1" applyFill="1" applyBorder="1" applyAlignment="1">
      <alignment wrapText="1"/>
    </xf>
    <xf numFmtId="0" fontId="38" fillId="2" borderId="33" xfId="0" applyFont="1" applyFill="1" applyBorder="1" applyAlignment="1">
      <alignment horizontal="left" wrapText="1"/>
    </xf>
    <xf numFmtId="0" fontId="37" fillId="5" borderId="28" xfId="0" applyFont="1" applyFill="1" applyBorder="1" applyAlignment="1">
      <alignment horizontal="center" wrapText="1"/>
    </xf>
    <xf numFmtId="0" fontId="37" fillId="5" borderId="28" xfId="0" applyFont="1" applyFill="1" applyBorder="1" applyAlignment="1">
      <alignment horizontal="center"/>
    </xf>
    <xf numFmtId="0" fontId="38" fillId="2" borderId="34" xfId="0" applyFont="1" applyFill="1" applyBorder="1" applyAlignment="1">
      <alignment wrapText="1"/>
    </xf>
    <xf numFmtId="0" fontId="38" fillId="2" borderId="33" xfId="0" applyFont="1" applyFill="1" applyBorder="1" applyAlignment="1">
      <alignment wrapText="1"/>
    </xf>
    <xf numFmtId="0" fontId="0" fillId="2" borderId="35" xfId="0" applyFill="1" applyBorder="1"/>
    <xf numFmtId="0" fontId="39" fillId="5" borderId="28" xfId="0" applyFont="1" applyFill="1" applyBorder="1" applyAlignment="1">
      <alignment horizontal="center" wrapText="1"/>
    </xf>
    <xf numFmtId="0" fontId="39" fillId="5" borderId="34" xfId="0" applyFont="1" applyFill="1" applyBorder="1" applyAlignment="1">
      <alignment horizontal="center" wrapText="1"/>
    </xf>
    <xf numFmtId="0" fontId="38" fillId="2" borderId="31" xfId="0" applyFont="1" applyFill="1" applyBorder="1" applyAlignment="1">
      <alignment horizontal="left" wrapText="1"/>
    </xf>
    <xf numFmtId="0" fontId="38" fillId="2" borderId="32" xfId="0" applyFont="1" applyFill="1" applyBorder="1" applyAlignment="1">
      <alignment horizontal="left" wrapText="1"/>
    </xf>
    <xf numFmtId="0" fontId="38" fillId="2" borderId="36" xfId="0" applyFont="1" applyFill="1" applyBorder="1" applyAlignment="1">
      <alignment horizontal="left" wrapText="1"/>
    </xf>
    <xf numFmtId="0" fontId="0" fillId="2" borderId="28" xfId="0" applyFill="1" applyBorder="1" applyAlignment="1">
      <alignment wrapText="1"/>
    </xf>
    <xf numFmtId="0" fontId="0" fillId="2" borderId="34" xfId="0" applyFill="1" applyBorder="1" applyAlignment="1">
      <alignment wrapText="1"/>
    </xf>
    <xf numFmtId="0" fontId="0" fillId="2" borderId="3" xfId="0" applyFill="1" applyBorder="1" applyAlignment="1">
      <alignment wrapText="1"/>
    </xf>
    <xf numFmtId="4" fontId="36" fillId="0" borderId="37" xfId="0" applyNumberFormat="1" applyFont="1" applyBorder="1" applyAlignment="1">
      <alignment horizontal="right" vertical="top" wrapText="1"/>
    </xf>
    <xf numFmtId="4" fontId="36" fillId="0" borderId="20" xfId="0" applyNumberFormat="1" applyFont="1" applyBorder="1" applyAlignment="1">
      <alignment horizontal="right" vertical="top" wrapText="1"/>
    </xf>
    <xf numFmtId="4" fontId="33" fillId="0" borderId="20" xfId="0" applyNumberFormat="1" applyFont="1" applyBorder="1" applyAlignment="1">
      <alignment horizontal="right" vertical="top" wrapText="1"/>
    </xf>
    <xf numFmtId="4" fontId="36" fillId="0" borderId="38" xfId="0" applyNumberFormat="1" applyFont="1" applyBorder="1" applyAlignment="1">
      <alignment horizontal="right" vertical="top" wrapText="1"/>
    </xf>
    <xf numFmtId="4" fontId="44" fillId="5" borderId="39" xfId="0" applyNumberFormat="1" applyFont="1" applyFill="1" applyBorder="1" applyAlignment="1">
      <alignment horizontal="right" vertical="top" wrapText="1"/>
    </xf>
    <xf numFmtId="4" fontId="33" fillId="2" borderId="20" xfId="0" applyNumberFormat="1" applyFont="1" applyFill="1" applyBorder="1" applyAlignment="1">
      <alignment horizontal="right" vertical="top" wrapText="1"/>
    </xf>
    <xf numFmtId="0" fontId="7" fillId="2" borderId="20" xfId="4" applyFill="1" applyBorder="1"/>
    <xf numFmtId="0" fontId="7" fillId="0" borderId="37" xfId="4" applyBorder="1"/>
    <xf numFmtId="4" fontId="36" fillId="2" borderId="20" xfId="0" applyNumberFormat="1" applyFont="1" applyFill="1" applyBorder="1" applyAlignment="1">
      <alignment horizontal="right" vertical="top" wrapText="1"/>
    </xf>
    <xf numFmtId="2" fontId="43" fillId="0" borderId="20" xfId="4" applyNumberFormat="1" applyFont="1" applyBorder="1"/>
    <xf numFmtId="2" fontId="43" fillId="0" borderId="38" xfId="4" applyNumberFormat="1" applyFont="1" applyBorder="1"/>
    <xf numFmtId="2" fontId="47" fillId="5" borderId="39" xfId="4" applyNumberFormat="1" applyFont="1" applyFill="1" applyBorder="1"/>
    <xf numFmtId="0" fontId="7" fillId="5" borderId="40" xfId="4" applyFill="1" applyBorder="1"/>
    <xf numFmtId="4" fontId="33" fillId="2" borderId="20" xfId="4" applyNumberFormat="1" applyFont="1" applyFill="1" applyBorder="1"/>
    <xf numFmtId="0" fontId="7" fillId="0" borderId="38" xfId="4" applyBorder="1"/>
    <xf numFmtId="4" fontId="7" fillId="0" borderId="37" xfId="4" applyNumberFormat="1" applyBorder="1" applyAlignment="1">
      <alignment horizontal="center" vertical="center"/>
    </xf>
    <xf numFmtId="4" fontId="7" fillId="0" borderId="20" xfId="4" applyNumberFormat="1" applyBorder="1" applyAlignment="1">
      <alignment horizontal="center" vertical="center"/>
    </xf>
    <xf numFmtId="4" fontId="7" fillId="0" borderId="38" xfId="4" applyNumberFormat="1" applyBorder="1" applyAlignment="1">
      <alignment horizontal="center" vertical="center"/>
    </xf>
    <xf numFmtId="4" fontId="7" fillId="5" borderId="20" xfId="4" applyNumberFormat="1" applyFill="1" applyBorder="1" applyAlignment="1">
      <alignment horizontal="center" vertical="center"/>
    </xf>
    <xf numFmtId="4" fontId="33" fillId="0" borderId="20" xfId="0" applyNumberFormat="1" applyFont="1" applyBorder="1" applyAlignment="1">
      <alignment horizontal="center" vertical="center" wrapText="1"/>
    </xf>
    <xf numFmtId="4" fontId="44" fillId="5" borderId="19" xfId="0" applyNumberFormat="1" applyFont="1" applyFill="1" applyBorder="1" applyAlignment="1">
      <alignment horizontal="right" vertical="top" wrapText="1"/>
    </xf>
    <xf numFmtId="4" fontId="44" fillId="5" borderId="15" xfId="0" applyNumberFormat="1" applyFont="1" applyFill="1" applyBorder="1" applyAlignment="1">
      <alignment horizontal="right" vertical="top" wrapText="1"/>
    </xf>
    <xf numFmtId="4" fontId="44" fillId="5" borderId="17" xfId="0" applyNumberFormat="1" applyFont="1" applyFill="1" applyBorder="1" applyAlignment="1">
      <alignment horizontal="right" vertical="top" wrapText="1"/>
    </xf>
    <xf numFmtId="4" fontId="44" fillId="5" borderId="14" xfId="0" applyNumberFormat="1" applyFont="1" applyFill="1" applyBorder="1" applyAlignment="1">
      <alignment horizontal="right" vertical="top" wrapText="1"/>
    </xf>
    <xf numFmtId="4" fontId="44" fillId="5" borderId="18" xfId="0" applyNumberFormat="1" applyFont="1" applyFill="1" applyBorder="1" applyAlignment="1">
      <alignment horizontal="right" vertical="top" wrapText="1"/>
    </xf>
    <xf numFmtId="4" fontId="44" fillId="5" borderId="16" xfId="0" applyNumberFormat="1" applyFont="1" applyFill="1" applyBorder="1" applyAlignment="1">
      <alignment horizontal="right" vertical="top" wrapText="1"/>
    </xf>
    <xf numFmtId="4" fontId="44" fillId="5" borderId="18" xfId="0" applyNumberFormat="1" applyFont="1" applyFill="1" applyBorder="1" applyAlignment="1">
      <alignment horizontal="right" wrapText="1"/>
    </xf>
    <xf numFmtId="4" fontId="44" fillId="5" borderId="20" xfId="0" applyNumberFormat="1" applyFont="1" applyFill="1" applyBorder="1" applyAlignment="1">
      <alignment horizontal="center" vertical="center" wrapText="1"/>
    </xf>
    <xf numFmtId="4" fontId="44" fillId="5" borderId="1" xfId="0" applyNumberFormat="1" applyFont="1" applyFill="1" applyBorder="1" applyAlignment="1">
      <alignment horizontal="center" vertical="center" wrapText="1"/>
    </xf>
    <xf numFmtId="0" fontId="48" fillId="0" borderId="0" xfId="4" applyFont="1"/>
    <xf numFmtId="4" fontId="48" fillId="0" borderId="1" xfId="4" applyNumberFormat="1" applyFont="1" applyBorder="1" applyAlignment="1">
      <alignment horizontal="center"/>
    </xf>
    <xf numFmtId="3" fontId="31" fillId="5" borderId="21" xfId="0" applyNumberFormat="1" applyFont="1" applyFill="1" applyBorder="1"/>
    <xf numFmtId="0" fontId="6" fillId="5" borderId="26" xfId="0" applyFont="1" applyFill="1" applyBorder="1"/>
    <xf numFmtId="0" fontId="31" fillId="2" borderId="24" xfId="0" applyFont="1" applyFill="1" applyBorder="1" applyAlignment="1">
      <alignment horizontal="center"/>
    </xf>
    <xf numFmtId="0" fontId="31" fillId="2" borderId="24" xfId="0" applyFont="1" applyFill="1" applyBorder="1" applyAlignment="1">
      <alignment horizontal="right"/>
    </xf>
    <xf numFmtId="3" fontId="31" fillId="5" borderId="30" xfId="0" applyNumberFormat="1" applyFont="1" applyFill="1" applyBorder="1"/>
    <xf numFmtId="0" fontId="6" fillId="5" borderId="27" xfId="0" applyFont="1" applyFill="1" applyBorder="1"/>
    <xf numFmtId="0" fontId="31" fillId="2" borderId="29" xfId="0" applyFont="1" applyFill="1" applyBorder="1" applyAlignment="1">
      <alignment horizontal="center"/>
    </xf>
    <xf numFmtId="0" fontId="31" fillId="0" borderId="28" xfId="0" applyFont="1" applyBorder="1" applyAlignment="1">
      <alignment horizontal="center"/>
    </xf>
    <xf numFmtId="3" fontId="35" fillId="0" borderId="35" xfId="0" applyNumberFormat="1" applyFont="1" applyBorder="1" applyAlignment="1">
      <alignment wrapText="1"/>
    </xf>
    <xf numFmtId="0" fontId="31" fillId="0" borderId="41" xfId="0" applyFont="1" applyBorder="1" applyAlignment="1">
      <alignment wrapText="1"/>
    </xf>
    <xf numFmtId="3" fontId="23" fillId="0" borderId="20" xfId="0" applyNumberFormat="1" applyFont="1" applyBorder="1"/>
    <xf numFmtId="4" fontId="33" fillId="0" borderId="20" xfId="9" applyNumberFormat="1" applyFont="1" applyBorder="1" applyAlignment="1">
      <alignment horizontal="right" vertical="top" wrapText="1"/>
    </xf>
    <xf numFmtId="167" fontId="23" fillId="2" borderId="20" xfId="0" applyNumberFormat="1" applyFont="1" applyFill="1" applyBorder="1"/>
    <xf numFmtId="4" fontId="44" fillId="5" borderId="42" xfId="0" applyNumberFormat="1" applyFont="1" applyFill="1" applyBorder="1" applyAlignment="1">
      <alignment horizontal="right" vertical="top" wrapText="1"/>
    </xf>
    <xf numFmtId="0" fontId="37" fillId="5" borderId="43" xfId="0" applyFont="1" applyFill="1" applyBorder="1" applyAlignment="1">
      <alignment horizontal="center" wrapText="1"/>
    </xf>
    <xf numFmtId="4" fontId="44" fillId="5" borderId="44" xfId="0" applyNumberFormat="1" applyFont="1" applyFill="1" applyBorder="1" applyAlignment="1">
      <alignment horizontal="right" vertical="top" wrapText="1"/>
    </xf>
    <xf numFmtId="4" fontId="44" fillId="5" borderId="30" xfId="0" applyNumberFormat="1" applyFont="1" applyFill="1" applyBorder="1" applyAlignment="1">
      <alignment horizontal="right" vertical="top" wrapText="1"/>
    </xf>
    <xf numFmtId="0" fontId="38" fillId="2" borderId="35" xfId="0" applyFont="1" applyFill="1" applyBorder="1" applyAlignment="1">
      <alignment horizontal="left" wrapText="1"/>
    </xf>
    <xf numFmtId="0" fontId="38" fillId="2" borderId="32" xfId="0" applyFont="1" applyFill="1" applyBorder="1" applyAlignment="1">
      <alignment horizontal="center" vertical="center" wrapText="1"/>
    </xf>
    <xf numFmtId="4" fontId="44" fillId="5" borderId="15" xfId="0" applyNumberFormat="1" applyFont="1" applyFill="1" applyBorder="1" applyAlignment="1">
      <alignment horizontal="center" vertical="center" wrapText="1"/>
    </xf>
    <xf numFmtId="4" fontId="33" fillId="2" borderId="20" xfId="0" applyNumberFormat="1" applyFont="1" applyFill="1" applyBorder="1" applyAlignment="1">
      <alignment horizontal="center" vertical="center" wrapText="1"/>
    </xf>
    <xf numFmtId="0" fontId="7" fillId="2" borderId="1" xfId="4" applyFill="1" applyBorder="1" applyAlignment="1">
      <alignment horizontal="center" vertical="center"/>
    </xf>
    <xf numFmtId="4" fontId="33" fillId="2" borderId="1" xfId="0" applyNumberFormat="1" applyFont="1" applyFill="1" applyBorder="1" applyAlignment="1">
      <alignment horizontal="center" vertical="center" wrapText="1"/>
    </xf>
    <xf numFmtId="3" fontId="33" fillId="2" borderId="1" xfId="4" applyNumberFormat="1" applyFont="1" applyFill="1" applyBorder="1" applyAlignment="1">
      <alignment horizontal="center" vertical="center"/>
    </xf>
    <xf numFmtId="0" fontId="7" fillId="0" borderId="0" xfId="4" applyAlignment="1">
      <alignment horizontal="center" vertical="center"/>
    </xf>
    <xf numFmtId="0" fontId="38" fillId="2" borderId="32" xfId="0" applyFont="1" applyFill="1" applyBorder="1" applyAlignment="1">
      <alignment vertical="center" wrapText="1"/>
    </xf>
    <xf numFmtId="0" fontId="7" fillId="0" borderId="0" xfId="4" applyAlignment="1">
      <alignment vertical="center"/>
    </xf>
    <xf numFmtId="0" fontId="38" fillId="2" borderId="34" xfId="0" applyFont="1" applyFill="1" applyBorder="1" applyAlignment="1">
      <alignment vertical="top" wrapText="1"/>
    </xf>
    <xf numFmtId="0" fontId="7" fillId="0" borderId="0" xfId="4" applyAlignment="1">
      <alignment vertical="top"/>
    </xf>
    <xf numFmtId="2" fontId="38" fillId="2" borderId="33" xfId="0" applyNumberFormat="1" applyFont="1" applyFill="1" applyBorder="1" applyAlignment="1">
      <alignment vertical="center" wrapText="1"/>
    </xf>
    <xf numFmtId="2" fontId="44" fillId="5" borderId="18" xfId="0" applyNumberFormat="1" applyFont="1" applyFill="1" applyBorder="1" applyAlignment="1">
      <alignment horizontal="right" vertical="center" wrapText="1"/>
    </xf>
    <xf numFmtId="2" fontId="7" fillId="0" borderId="0" xfId="4" applyNumberFormat="1" applyAlignment="1">
      <alignment vertical="center"/>
    </xf>
    <xf numFmtId="0" fontId="38" fillId="2" borderId="33" xfId="0" applyFont="1" applyFill="1" applyBorder="1" applyAlignment="1">
      <alignment vertical="center" wrapText="1"/>
    </xf>
    <xf numFmtId="4" fontId="44" fillId="5" borderId="18" xfId="0" applyNumberFormat="1" applyFont="1" applyFill="1" applyBorder="1" applyAlignment="1">
      <alignment horizontal="right" vertical="center" wrapText="1"/>
    </xf>
    <xf numFmtId="0" fontId="38" fillId="2" borderId="31" xfId="0" applyFont="1" applyFill="1" applyBorder="1" applyAlignment="1">
      <alignment vertical="center" wrapText="1"/>
    </xf>
    <xf numFmtId="0" fontId="38" fillId="2" borderId="34" xfId="0" applyFont="1" applyFill="1" applyBorder="1" applyAlignment="1">
      <alignment horizontal="center" vertical="center" wrapText="1"/>
    </xf>
    <xf numFmtId="4" fontId="44" fillId="5" borderId="18" xfId="0" applyNumberFormat="1" applyFont="1" applyFill="1" applyBorder="1" applyAlignment="1">
      <alignment horizontal="center" vertical="center" wrapText="1"/>
    </xf>
    <xf numFmtId="0" fontId="39" fillId="5" borderId="34" xfId="0" applyFont="1" applyFill="1" applyBorder="1" applyAlignment="1">
      <alignment horizontal="center" vertical="center" wrapText="1"/>
    </xf>
    <xf numFmtId="4" fontId="44" fillId="5" borderId="16" xfId="0" applyNumberFormat="1" applyFont="1" applyFill="1" applyBorder="1" applyAlignment="1">
      <alignment horizontal="right" vertical="center" wrapText="1"/>
    </xf>
    <xf numFmtId="0" fontId="7" fillId="5" borderId="40" xfId="4" applyFill="1" applyBorder="1" applyAlignment="1">
      <alignment vertical="center"/>
    </xf>
    <xf numFmtId="4" fontId="36" fillId="5" borderId="25" xfId="0" applyNumberFormat="1" applyFont="1" applyFill="1" applyBorder="1" applyAlignment="1">
      <alignment horizontal="right" vertical="center" wrapText="1"/>
    </xf>
    <xf numFmtId="0" fontId="7" fillId="5" borderId="25" xfId="4" applyFill="1" applyBorder="1" applyAlignment="1">
      <alignment vertical="center"/>
    </xf>
    <xf numFmtId="4" fontId="44" fillId="5" borderId="25" xfId="0" applyNumberFormat="1" applyFont="1" applyFill="1" applyBorder="1" applyAlignment="1">
      <alignment horizontal="right" vertical="center" wrapText="1"/>
    </xf>
    <xf numFmtId="0" fontId="38" fillId="2" borderId="31" xfId="0" applyFont="1" applyFill="1" applyBorder="1" applyAlignment="1">
      <alignment horizontal="left" vertical="center" wrapText="1"/>
    </xf>
    <xf numFmtId="4" fontId="44" fillId="5" borderId="15" xfId="0" applyNumberFormat="1" applyFont="1" applyFill="1" applyBorder="1" applyAlignment="1">
      <alignment horizontal="right" vertical="center" wrapText="1"/>
    </xf>
    <xf numFmtId="0" fontId="38" fillId="2" borderId="32" xfId="0" applyFont="1" applyFill="1" applyBorder="1" applyAlignment="1">
      <alignment horizontal="left" vertical="center" wrapText="1"/>
    </xf>
    <xf numFmtId="2" fontId="38" fillId="2" borderId="32" xfId="0" applyNumberFormat="1" applyFont="1" applyFill="1" applyBorder="1" applyAlignment="1">
      <alignment horizontal="left" vertical="center" wrapText="1"/>
    </xf>
    <xf numFmtId="2" fontId="44" fillId="5" borderId="15" xfId="0" applyNumberFormat="1" applyFont="1" applyFill="1" applyBorder="1" applyAlignment="1">
      <alignment horizontal="right" vertical="center" wrapText="1"/>
    </xf>
    <xf numFmtId="0" fontId="38" fillId="2" borderId="36" xfId="0" applyFont="1" applyFill="1" applyBorder="1" applyAlignment="1">
      <alignment horizontal="left" vertical="center" wrapText="1"/>
    </xf>
    <xf numFmtId="0" fontId="0" fillId="2" borderId="28" xfId="0" applyFill="1" applyBorder="1" applyAlignment="1">
      <alignment vertical="center" wrapText="1"/>
    </xf>
    <xf numFmtId="0" fontId="0" fillId="2" borderId="34" xfId="0" applyFill="1" applyBorder="1" applyAlignment="1">
      <alignment vertical="center" wrapText="1"/>
    </xf>
    <xf numFmtId="0" fontId="37" fillId="5" borderId="28" xfId="0" applyFont="1" applyFill="1" applyBorder="1" applyAlignment="1">
      <alignment horizontal="center" vertical="center" wrapText="1"/>
    </xf>
    <xf numFmtId="4" fontId="44" fillId="5" borderId="1" xfId="0" applyNumberFormat="1" applyFont="1" applyFill="1" applyBorder="1" applyAlignment="1">
      <alignment horizontal="right" vertical="center" wrapText="1"/>
    </xf>
    <xf numFmtId="0" fontId="48" fillId="0" borderId="0" xfId="4" applyFont="1" applyAlignment="1">
      <alignment vertical="center"/>
    </xf>
    <xf numFmtId="2" fontId="19" fillId="0" borderId="0" xfId="4" applyNumberFormat="1" applyFont="1"/>
    <xf numFmtId="1" fontId="23" fillId="0" borderId="1" xfId="0" applyNumberFormat="1" applyFont="1" applyBorder="1"/>
    <xf numFmtId="172" fontId="19" fillId="0" borderId="0" xfId="4" applyNumberFormat="1" applyFont="1"/>
    <xf numFmtId="0" fontId="50" fillId="0" borderId="1" xfId="10" applyNumberFormat="1" applyBorder="1" applyAlignment="1" applyProtection="1">
      <alignment horizontal="center"/>
    </xf>
    <xf numFmtId="0" fontId="50" fillId="0" borderId="0" xfId="10" applyAlignment="1" applyProtection="1"/>
    <xf numFmtId="0" fontId="50" fillId="0" borderId="21" xfId="10" applyNumberFormat="1" applyFill="1" applyBorder="1" applyAlignment="1" applyProtection="1">
      <alignment horizontal="center"/>
    </xf>
    <xf numFmtId="0" fontId="50" fillId="0" borderId="13" xfId="10" applyNumberFormat="1" applyBorder="1" applyAlignment="1" applyProtection="1">
      <alignment horizontal="center"/>
    </xf>
    <xf numFmtId="0" fontId="50" fillId="0" borderId="13" xfId="10" applyNumberFormat="1" applyBorder="1" applyAlignment="1" applyProtection="1">
      <alignment horizontal="center" vertical="center"/>
    </xf>
    <xf numFmtId="0" fontId="52" fillId="0" borderId="0" xfId="10" applyFont="1" applyAlignment="1" applyProtection="1"/>
    <xf numFmtId="0" fontId="51" fillId="0" borderId="1" xfId="0" applyFont="1" applyBorder="1"/>
    <xf numFmtId="0" fontId="8" fillId="2" borderId="0" xfId="4" applyFont="1" applyFill="1" applyAlignment="1">
      <alignment horizontal="left" vertical="top" wrapText="1"/>
    </xf>
    <xf numFmtId="0" fontId="8" fillId="2" borderId="0" xfId="4" applyFont="1" applyFill="1" applyAlignment="1">
      <alignment vertical="top" wrapText="1"/>
    </xf>
    <xf numFmtId="0" fontId="32" fillId="2" borderId="45" xfId="0" applyFont="1" applyFill="1" applyBorder="1" applyAlignment="1">
      <alignment horizontal="left" vertical="top"/>
    </xf>
    <xf numFmtId="4" fontId="32" fillId="2" borderId="1" xfId="0" applyNumberFormat="1" applyFont="1" applyFill="1" applyBorder="1" applyAlignment="1">
      <alignment horizontal="right" vertical="top" wrapText="1"/>
    </xf>
    <xf numFmtId="0" fontId="34" fillId="2" borderId="32" xfId="0" applyFont="1" applyFill="1" applyBorder="1" applyAlignment="1">
      <alignment wrapText="1"/>
    </xf>
    <xf numFmtId="0" fontId="16" fillId="2" borderId="46" xfId="10" applyFont="1" applyFill="1" applyBorder="1" applyAlignment="1" applyProtection="1">
      <alignment horizontal="left" wrapText="1"/>
    </xf>
    <xf numFmtId="0" fontId="16" fillId="2" borderId="0" xfId="10" applyFont="1" applyFill="1" applyAlignment="1" applyProtection="1"/>
    <xf numFmtId="0" fontId="16" fillId="0" borderId="0" xfId="10" applyFont="1" applyAlignment="1" applyProtection="1">
      <alignment wrapText="1"/>
    </xf>
    <xf numFmtId="0" fontId="50" fillId="2" borderId="0" xfId="10" applyFill="1" applyAlignment="1" applyProtection="1"/>
    <xf numFmtId="0" fontId="0" fillId="2" borderId="0" xfId="0" applyFill="1"/>
    <xf numFmtId="0" fontId="55" fillId="2" borderId="0" xfId="0" applyFont="1" applyFill="1" applyAlignment="1">
      <alignment horizontal="center"/>
    </xf>
    <xf numFmtId="0" fontId="21" fillId="2" borderId="0" xfId="4" applyFont="1" applyFill="1"/>
    <xf numFmtId="0" fontId="21" fillId="2" borderId="21" xfId="4" applyFont="1" applyFill="1" applyBorder="1" applyAlignment="1">
      <alignment horizontal="center"/>
    </xf>
    <xf numFmtId="0" fontId="16" fillId="2" borderId="0" xfId="10" applyFont="1" applyFill="1" applyBorder="1" applyAlignment="1" applyProtection="1"/>
    <xf numFmtId="0" fontId="53" fillId="2" borderId="0" xfId="0" applyFont="1" applyFill="1"/>
    <xf numFmtId="4" fontId="32" fillId="2" borderId="15" xfId="0" applyNumberFormat="1" applyFont="1" applyFill="1" applyBorder="1" applyAlignment="1">
      <alignment horizontal="right" vertical="top" wrapText="1"/>
    </xf>
    <xf numFmtId="4" fontId="34" fillId="2" borderId="20" xfId="0" applyNumberFormat="1" applyFont="1" applyFill="1" applyBorder="1" applyAlignment="1">
      <alignment horizontal="right" vertical="top" wrapText="1"/>
    </xf>
    <xf numFmtId="0" fontId="58" fillId="2" borderId="0" xfId="10" applyFont="1" applyFill="1" applyAlignment="1" applyProtection="1"/>
    <xf numFmtId="0" fontId="32" fillId="2" borderId="21" xfId="0" applyFont="1" applyFill="1" applyBorder="1" applyAlignment="1">
      <alignment vertical="center"/>
    </xf>
    <xf numFmtId="0" fontId="21" fillId="2" borderId="1" xfId="4" applyFont="1" applyFill="1" applyBorder="1" applyAlignment="1">
      <alignment horizontal="center"/>
    </xf>
    <xf numFmtId="0" fontId="56" fillId="2" borderId="0" xfId="10" applyFont="1" applyFill="1" applyAlignment="1" applyProtection="1"/>
    <xf numFmtId="0" fontId="52" fillId="2" borderId="0" xfId="10" applyFont="1" applyFill="1" applyAlignment="1" applyProtection="1"/>
    <xf numFmtId="0" fontId="51" fillId="2" borderId="0" xfId="0" applyFont="1" applyFill="1"/>
    <xf numFmtId="0" fontId="54" fillId="2" borderId="0" xfId="0" applyFont="1" applyFill="1" applyAlignment="1">
      <alignment horizontal="center"/>
    </xf>
    <xf numFmtId="0" fontId="34" fillId="2" borderId="0" xfId="4" applyFont="1" applyFill="1"/>
    <xf numFmtId="0" fontId="34" fillId="2" borderId="21" xfId="4" applyFont="1" applyFill="1" applyBorder="1" applyAlignment="1">
      <alignment horizontal="center"/>
    </xf>
    <xf numFmtId="0" fontId="34" fillId="0" borderId="0" xfId="0" applyFont="1"/>
    <xf numFmtId="0" fontId="34" fillId="0" borderId="0" xfId="0" applyFont="1" applyAlignment="1">
      <alignment horizontal="left" wrapText="1"/>
    </xf>
    <xf numFmtId="0" fontId="16" fillId="2" borderId="0" xfId="10" applyFont="1" applyFill="1" applyAlignment="1" applyProtection="1">
      <alignment horizontal="left" wrapText="1"/>
    </xf>
    <xf numFmtId="0" fontId="38" fillId="2" borderId="0" xfId="0" applyFont="1" applyFill="1" applyAlignment="1">
      <alignment wrapText="1"/>
    </xf>
    <xf numFmtId="4" fontId="44" fillId="2" borderId="0" xfId="0" applyNumberFormat="1" applyFont="1" applyFill="1" applyAlignment="1">
      <alignment horizontal="right" vertical="top" wrapText="1"/>
    </xf>
    <xf numFmtId="0" fontId="34" fillId="0" borderId="0" xfId="4" applyFont="1" applyAlignment="1">
      <alignment horizontal="center" vertical="center"/>
    </xf>
    <xf numFmtId="0" fontId="16" fillId="2" borderId="0" xfId="0" applyFont="1" applyFill="1"/>
    <xf numFmtId="4" fontId="36" fillId="2" borderId="0" xfId="0" applyNumberFormat="1" applyFont="1" applyFill="1" applyAlignment="1">
      <alignment horizontal="right" vertical="top" wrapText="1"/>
    </xf>
    <xf numFmtId="4" fontId="36" fillId="2" borderId="47" xfId="0" applyNumberFormat="1" applyFont="1" applyFill="1" applyBorder="1" applyAlignment="1">
      <alignment horizontal="right" vertical="top" wrapText="1"/>
    </xf>
    <xf numFmtId="4" fontId="33" fillId="2" borderId="0" xfId="0" applyNumberFormat="1" applyFont="1" applyFill="1" applyAlignment="1">
      <alignment horizontal="right" vertical="top"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34" fillId="2" borderId="0" xfId="4" applyFont="1" applyFill="1" applyAlignment="1">
      <alignment horizontal="center" vertical="center"/>
    </xf>
    <xf numFmtId="0" fontId="57" fillId="2" borderId="35" xfId="0" applyFont="1" applyFill="1" applyBorder="1" applyAlignment="1">
      <alignment horizontal="left" wrapText="1"/>
    </xf>
    <xf numFmtId="0" fontId="50" fillId="0" borderId="0" xfId="10" applyAlignment="1" applyProtection="1">
      <alignment horizontal="right"/>
    </xf>
    <xf numFmtId="0" fontId="59" fillId="0" borderId="0" xfId="10" applyFont="1" applyAlignment="1" applyProtection="1"/>
    <xf numFmtId="0" fontId="59" fillId="0" borderId="0" xfId="10" applyFont="1" applyAlignment="1" applyProtection="1">
      <alignment horizontal="right"/>
    </xf>
    <xf numFmtId="0" fontId="59" fillId="2" borderId="0" xfId="10" applyFont="1" applyFill="1" applyAlignment="1" applyProtection="1">
      <alignment horizontal="right"/>
    </xf>
    <xf numFmtId="0" fontId="50" fillId="2" borderId="0" xfId="10" applyFill="1" applyAlignment="1" applyProtection="1">
      <alignment horizontal="center"/>
    </xf>
    <xf numFmtId="0" fontId="7" fillId="0" borderId="1" xfId="4" applyBorder="1" applyAlignment="1">
      <alignment horizontal="center"/>
    </xf>
    <xf numFmtId="0" fontId="38" fillId="2" borderId="1" xfId="0" applyFont="1" applyFill="1" applyBorder="1" applyAlignment="1">
      <alignment vertical="center" wrapText="1"/>
    </xf>
    <xf numFmtId="173" fontId="0" fillId="0" borderId="1" xfId="0" applyNumberFormat="1" applyBorder="1" applyAlignment="1">
      <alignment horizontal="center" vertical="center"/>
    </xf>
    <xf numFmtId="0" fontId="53" fillId="2" borderId="0" xfId="0" applyFont="1" applyFill="1" applyAlignment="1">
      <alignment horizontal="left" wrapText="1"/>
    </xf>
    <xf numFmtId="0" fontId="34" fillId="2" borderId="48" xfId="0" applyFont="1" applyFill="1" applyBorder="1" applyAlignment="1">
      <alignment wrapText="1"/>
    </xf>
    <xf numFmtId="4" fontId="32" fillId="2" borderId="48" xfId="0" applyNumberFormat="1" applyFont="1" applyFill="1" applyBorder="1" applyAlignment="1">
      <alignment horizontal="right" vertical="top" wrapText="1"/>
    </xf>
    <xf numFmtId="0" fontId="39" fillId="5" borderId="3" xfId="0" applyFont="1" applyFill="1" applyBorder="1" applyAlignment="1">
      <alignment horizontal="center" vertical="center" wrapText="1"/>
    </xf>
    <xf numFmtId="4" fontId="44" fillId="5" borderId="49" xfId="0" applyNumberFormat="1" applyFont="1" applyFill="1" applyBorder="1" applyAlignment="1">
      <alignment horizontal="right" vertical="center" wrapText="1"/>
    </xf>
    <xf numFmtId="2" fontId="47" fillId="5" borderId="50" xfId="4" applyNumberFormat="1" applyFont="1" applyFill="1" applyBorder="1" applyAlignment="1">
      <alignment vertical="center"/>
    </xf>
    <xf numFmtId="1" fontId="17" fillId="0" borderId="7" xfId="4" applyNumberFormat="1" applyFont="1" applyBorder="1" applyAlignment="1">
      <alignment horizontal="right" vertical="center" wrapText="1"/>
    </xf>
    <xf numFmtId="0" fontId="50" fillId="2" borderId="21" xfId="10" applyNumberFormat="1" applyFill="1" applyBorder="1" applyAlignment="1" applyProtection="1">
      <alignment horizontal="center"/>
    </xf>
    <xf numFmtId="0" fontId="50" fillId="0" borderId="0" xfId="10" applyNumberFormat="1" applyBorder="1" applyAlignment="1" applyProtection="1">
      <alignment horizontal="center"/>
    </xf>
    <xf numFmtId="3" fontId="31" fillId="2" borderId="20" xfId="0" applyNumberFormat="1" applyFont="1" applyFill="1" applyBorder="1"/>
    <xf numFmtId="3" fontId="35" fillId="0" borderId="51" xfId="0" applyNumberFormat="1" applyFont="1" applyBorder="1" applyAlignment="1">
      <alignment wrapText="1"/>
    </xf>
    <xf numFmtId="0" fontId="31" fillId="2" borderId="1" xfId="0" applyFont="1" applyFill="1" applyBorder="1" applyAlignment="1">
      <alignment horizontal="center"/>
    </xf>
    <xf numFmtId="0" fontId="31" fillId="0" borderId="1" xfId="0" applyFont="1" applyBorder="1" applyAlignment="1">
      <alignment horizontal="right"/>
    </xf>
    <xf numFmtId="3" fontId="31" fillId="5" borderId="20" xfId="0" applyNumberFormat="1" applyFont="1" applyFill="1" applyBorder="1"/>
    <xf numFmtId="0" fontId="31" fillId="0" borderId="52" xfId="0" applyFont="1" applyBorder="1" applyAlignment="1">
      <alignment horizontal="left" wrapText="1"/>
    </xf>
    <xf numFmtId="0" fontId="23" fillId="0" borderId="35" xfId="0" applyFont="1" applyBorder="1" applyAlignment="1">
      <alignment wrapText="1"/>
    </xf>
    <xf numFmtId="0" fontId="23" fillId="2" borderId="35" xfId="0" applyFont="1" applyFill="1" applyBorder="1" applyAlignment="1">
      <alignment horizontal="left" wrapText="1"/>
    </xf>
    <xf numFmtId="0" fontId="23" fillId="2" borderId="35" xfId="0" applyFont="1" applyFill="1" applyBorder="1" applyAlignment="1">
      <alignment wrapText="1"/>
    </xf>
    <xf numFmtId="0" fontId="23" fillId="0" borderId="35" xfId="0" applyFont="1" applyBorder="1" applyAlignment="1">
      <alignment horizontal="left" wrapText="1"/>
    </xf>
    <xf numFmtId="0" fontId="31" fillId="5" borderId="35" xfId="0" applyFont="1" applyFill="1" applyBorder="1" applyAlignment="1">
      <alignment horizontal="left" wrapText="1"/>
    </xf>
    <xf numFmtId="0" fontId="31" fillId="0" borderId="35" xfId="0" applyFont="1" applyBorder="1" applyAlignment="1">
      <alignment horizontal="left" wrapText="1"/>
    </xf>
    <xf numFmtId="3" fontId="32" fillId="5" borderId="51" xfId="0" applyNumberFormat="1" applyFont="1" applyFill="1" applyBorder="1" applyAlignment="1">
      <alignment horizontal="center" wrapText="1"/>
    </xf>
    <xf numFmtId="3" fontId="40" fillId="5" borderId="53" xfId="0" applyNumberFormat="1" applyFont="1" applyFill="1" applyBorder="1" applyAlignment="1">
      <alignment horizontal="center" wrapText="1"/>
    </xf>
    <xf numFmtId="3" fontId="35" fillId="0" borderId="54" xfId="0" applyNumberFormat="1" applyFont="1" applyBorder="1" applyAlignment="1">
      <alignment wrapText="1"/>
    </xf>
    <xf numFmtId="3" fontId="40" fillId="5" borderId="53" xfId="0" applyNumberFormat="1" applyFont="1" applyFill="1" applyBorder="1" applyAlignment="1">
      <alignment horizontal="center" vertical="center" wrapText="1"/>
    </xf>
    <xf numFmtId="3" fontId="40" fillId="5" borderId="55" xfId="0" applyNumberFormat="1" applyFont="1" applyFill="1" applyBorder="1" applyAlignment="1">
      <alignment horizontal="center" wrapText="1"/>
    </xf>
    <xf numFmtId="3" fontId="40" fillId="5" borderId="3" xfId="0" applyNumberFormat="1" applyFont="1" applyFill="1" applyBorder="1" applyAlignment="1">
      <alignment horizontal="center" wrapText="1"/>
    </xf>
    <xf numFmtId="0" fontId="31" fillId="2" borderId="35" xfId="0" applyFont="1" applyFill="1" applyBorder="1" applyAlignment="1">
      <alignment horizontal="left" wrapText="1"/>
    </xf>
    <xf numFmtId="0" fontId="31" fillId="0" borderId="35" xfId="0" applyFont="1" applyBorder="1" applyAlignment="1">
      <alignment wrapText="1"/>
    </xf>
    <xf numFmtId="9" fontId="23" fillId="0" borderId="20" xfId="0" applyNumberFormat="1" applyFont="1" applyBorder="1"/>
    <xf numFmtId="0" fontId="23" fillId="0" borderId="20" xfId="0" applyFont="1" applyBorder="1"/>
    <xf numFmtId="3" fontId="31" fillId="5" borderId="38" xfId="0" applyNumberFormat="1" applyFont="1" applyFill="1" applyBorder="1"/>
    <xf numFmtId="3" fontId="31" fillId="5" borderId="39" xfId="0" applyNumberFormat="1" applyFont="1" applyFill="1" applyBorder="1"/>
    <xf numFmtId="3" fontId="23" fillId="0" borderId="56" xfId="0" applyNumberFormat="1" applyFont="1" applyBorder="1"/>
    <xf numFmtId="3" fontId="23" fillId="0" borderId="38" xfId="0" applyNumberFormat="1" applyFont="1" applyBorder="1"/>
    <xf numFmtId="3" fontId="31" fillId="5" borderId="39" xfId="0" applyNumberFormat="1" applyFont="1" applyFill="1" applyBorder="1" applyAlignment="1">
      <alignment horizontal="right"/>
    </xf>
    <xf numFmtId="3" fontId="31" fillId="5" borderId="44" xfId="0" applyNumberFormat="1" applyFont="1" applyFill="1" applyBorder="1"/>
    <xf numFmtId="3" fontId="31" fillId="5" borderId="14" xfId="0" applyNumberFormat="1" applyFont="1" applyFill="1" applyBorder="1"/>
    <xf numFmtId="3" fontId="31" fillId="2" borderId="14" xfId="0" applyNumberFormat="1" applyFont="1" applyFill="1" applyBorder="1"/>
    <xf numFmtId="0" fontId="60" fillId="0" borderId="1" xfId="0" applyFont="1" applyBorder="1" applyAlignment="1">
      <alignment vertical="top" wrapText="1"/>
    </xf>
    <xf numFmtId="0" fontId="60" fillId="0" borderId="21" xfId="0" applyFont="1" applyBorder="1" applyAlignment="1">
      <alignment vertical="top" wrapText="1"/>
    </xf>
    <xf numFmtId="0" fontId="17" fillId="2" borderId="0" xfId="4" applyFont="1" applyFill="1"/>
    <xf numFmtId="0" fontId="21" fillId="2" borderId="1" xfId="4" applyFont="1" applyFill="1" applyBorder="1" applyAlignment="1">
      <alignment horizontal="center" vertical="center"/>
    </xf>
    <xf numFmtId="0" fontId="21" fillId="2" borderId="1" xfId="4" applyFont="1" applyFill="1" applyBorder="1" applyAlignment="1">
      <alignment horizontal="center" vertical="center" wrapText="1"/>
    </xf>
    <xf numFmtId="0" fontId="19" fillId="2" borderId="24" xfId="4" applyFont="1" applyFill="1" applyBorder="1" applyAlignment="1">
      <alignment horizontal="center"/>
    </xf>
    <xf numFmtId="0" fontId="19" fillId="2" borderId="23" xfId="4" applyFont="1" applyFill="1" applyBorder="1" applyAlignment="1">
      <alignment horizontal="center"/>
    </xf>
    <xf numFmtId="0" fontId="0" fillId="2" borderId="0" xfId="0" applyFill="1" applyAlignment="1">
      <alignment vertical="center" wrapText="1"/>
    </xf>
    <xf numFmtId="4" fontId="33" fillId="0" borderId="0" xfId="0" applyNumberFormat="1" applyFont="1" applyAlignment="1">
      <alignment horizontal="center" vertical="center" wrapText="1"/>
    </xf>
    <xf numFmtId="4" fontId="44" fillId="2" borderId="0" xfId="0" applyNumberFormat="1" applyFont="1" applyFill="1" applyAlignment="1">
      <alignment horizontal="right" vertical="center" wrapText="1"/>
    </xf>
    <xf numFmtId="4" fontId="33" fillId="2" borderId="0" xfId="0" applyNumberFormat="1" applyFont="1" applyFill="1" applyAlignment="1">
      <alignment horizontal="center" vertical="center" wrapText="1"/>
    </xf>
    <xf numFmtId="0" fontId="7" fillId="2" borderId="0" xfId="4" applyFill="1" applyAlignment="1">
      <alignment vertical="center"/>
    </xf>
    <xf numFmtId="0" fontId="0" fillId="2" borderId="35" xfId="0" applyFill="1" applyBorder="1" applyAlignment="1">
      <alignment vertical="center" wrapText="1"/>
    </xf>
    <xf numFmtId="4" fontId="44" fillId="2" borderId="1" xfId="0" applyNumberFormat="1" applyFont="1" applyFill="1" applyBorder="1" applyAlignment="1">
      <alignment horizontal="right" vertical="center" wrapText="1"/>
    </xf>
    <xf numFmtId="0" fontId="17" fillId="0" borderId="0" xfId="4" applyFont="1" applyAlignment="1">
      <alignment horizontal="left" vertical="center"/>
    </xf>
    <xf numFmtId="3" fontId="31" fillId="5" borderId="26" xfId="0" applyNumberFormat="1" applyFont="1" applyFill="1" applyBorder="1"/>
    <xf numFmtId="0" fontId="31" fillId="0" borderId="0" xfId="0" applyFont="1"/>
    <xf numFmtId="3" fontId="31" fillId="5" borderId="26" xfId="0" applyNumberFormat="1" applyFont="1" applyFill="1" applyBorder="1" applyAlignment="1">
      <alignment horizontal="right"/>
    </xf>
    <xf numFmtId="167" fontId="35" fillId="0" borderId="13" xfId="0" applyNumberFormat="1" applyFont="1" applyBorder="1"/>
    <xf numFmtId="0" fontId="23" fillId="0" borderId="1" xfId="0" applyFont="1" applyBorder="1" applyAlignment="1">
      <alignment horizontal="center" vertical="center"/>
    </xf>
    <xf numFmtId="4" fontId="23" fillId="0" borderId="1" xfId="0" applyNumberFormat="1" applyFont="1" applyBorder="1"/>
    <xf numFmtId="0" fontId="23" fillId="0" borderId="35" xfId="0" applyFont="1" applyBorder="1" applyAlignment="1">
      <alignment horizontal="center"/>
    </xf>
    <xf numFmtId="0" fontId="23" fillId="0" borderId="35" xfId="0" applyFont="1" applyBorder="1"/>
    <xf numFmtId="167" fontId="35" fillId="0" borderId="54" xfId="0" applyNumberFormat="1" applyFont="1" applyBorder="1"/>
    <xf numFmtId="3" fontId="23" fillId="0" borderId="35" xfId="0" applyNumberFormat="1" applyFont="1" applyBorder="1"/>
    <xf numFmtId="9" fontId="23" fillId="0" borderId="35" xfId="0" applyNumberFormat="1" applyFont="1" applyBorder="1"/>
    <xf numFmtId="1" fontId="23" fillId="0" borderId="35" xfId="0" applyNumberFormat="1" applyFont="1" applyBorder="1"/>
    <xf numFmtId="3" fontId="31" fillId="5" borderId="35" xfId="0" applyNumberFormat="1" applyFont="1" applyFill="1" applyBorder="1"/>
    <xf numFmtId="3" fontId="31" fillId="5" borderId="51" xfId="0" applyNumberFormat="1" applyFont="1" applyFill="1" applyBorder="1"/>
    <xf numFmtId="3" fontId="31" fillId="5" borderId="53" xfId="0" applyNumberFormat="1" applyFont="1" applyFill="1" applyBorder="1"/>
    <xf numFmtId="3" fontId="23" fillId="0" borderId="46" xfId="0" applyNumberFormat="1" applyFont="1" applyBorder="1"/>
    <xf numFmtId="3" fontId="23" fillId="0" borderId="51" xfId="0" applyNumberFormat="1" applyFont="1" applyBorder="1"/>
    <xf numFmtId="3" fontId="23" fillId="0" borderId="54" xfId="0" applyNumberFormat="1" applyFont="1" applyBorder="1"/>
    <xf numFmtId="3" fontId="23" fillId="0" borderId="48" xfId="0" applyNumberFormat="1" applyFont="1" applyBorder="1"/>
    <xf numFmtId="3" fontId="31" fillId="5" borderId="55" xfId="0" applyNumberFormat="1" applyFont="1" applyFill="1" applyBorder="1"/>
    <xf numFmtId="4" fontId="33" fillId="0" borderId="35" xfId="9" applyNumberFormat="1" applyFont="1" applyBorder="1" applyAlignment="1">
      <alignment horizontal="right" vertical="top" wrapText="1"/>
    </xf>
    <xf numFmtId="4" fontId="23" fillId="0" borderId="52" xfId="1" applyNumberFormat="1" applyFont="1" applyBorder="1" applyAlignment="1">
      <alignment horizontal="right"/>
    </xf>
    <xf numFmtId="167" fontId="23" fillId="2" borderId="48" xfId="0" applyNumberFormat="1" applyFont="1" applyFill="1" applyBorder="1"/>
    <xf numFmtId="3" fontId="31" fillId="5" borderId="1" xfId="0" applyNumberFormat="1" applyFont="1" applyFill="1" applyBorder="1" applyAlignment="1">
      <alignment horizontal="right"/>
    </xf>
    <xf numFmtId="4" fontId="23" fillId="0" borderId="1" xfId="1" applyNumberFormat="1" applyFont="1" applyBorder="1" applyAlignment="1">
      <alignment horizontal="right"/>
    </xf>
    <xf numFmtId="167" fontId="23" fillId="2" borderId="1" xfId="0" applyNumberFormat="1" applyFont="1" applyFill="1" applyBorder="1"/>
    <xf numFmtId="4" fontId="23" fillId="0" borderId="20" xfId="0" applyNumberFormat="1" applyFont="1" applyBorder="1"/>
    <xf numFmtId="0" fontId="23" fillId="0" borderId="20" xfId="0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31" fillId="2" borderId="14" xfId="0" applyFont="1" applyFill="1" applyBorder="1" applyAlignment="1">
      <alignment horizontal="left"/>
    </xf>
    <xf numFmtId="9" fontId="31" fillId="2" borderId="14" xfId="0" applyNumberFormat="1" applyFont="1" applyFill="1" applyBorder="1"/>
    <xf numFmtId="4" fontId="31" fillId="2" borderId="14" xfId="0" applyNumberFormat="1" applyFont="1" applyFill="1" applyBorder="1" applyAlignment="1">
      <alignment horizontal="center"/>
    </xf>
    <xf numFmtId="4" fontId="31" fillId="2" borderId="14" xfId="0" applyNumberFormat="1" applyFont="1" applyFill="1" applyBorder="1" applyAlignment="1">
      <alignment horizontal="right"/>
    </xf>
    <xf numFmtId="167" fontId="31" fillId="2" borderId="14" xfId="0" applyNumberFormat="1" applyFont="1" applyFill="1" applyBorder="1"/>
    <xf numFmtId="3" fontId="35" fillId="2" borderId="35" xfId="0" applyNumberFormat="1" applyFont="1" applyFill="1" applyBorder="1" applyAlignment="1">
      <alignment wrapText="1"/>
    </xf>
    <xf numFmtId="3" fontId="23" fillId="2" borderId="20" xfId="0" applyNumberFormat="1" applyFont="1" applyFill="1" applyBorder="1"/>
    <xf numFmtId="3" fontId="23" fillId="2" borderId="1" xfId="0" applyNumberFormat="1" applyFont="1" applyFill="1" applyBorder="1"/>
    <xf numFmtId="3" fontId="23" fillId="2" borderId="35" xfId="0" applyNumberFormat="1" applyFont="1" applyFill="1" applyBorder="1"/>
    <xf numFmtId="0" fontId="50" fillId="2" borderId="13" xfId="10" applyNumberFormat="1" applyFill="1" applyBorder="1" applyAlignment="1" applyProtection="1">
      <alignment horizontal="center"/>
    </xf>
    <xf numFmtId="3" fontId="35" fillId="2" borderId="54" xfId="0" applyNumberFormat="1" applyFont="1" applyFill="1" applyBorder="1" applyAlignment="1">
      <alignment wrapText="1"/>
    </xf>
    <xf numFmtId="3" fontId="23" fillId="2" borderId="56" xfId="0" applyNumberFormat="1" applyFont="1" applyFill="1" applyBorder="1"/>
    <xf numFmtId="3" fontId="23" fillId="2" borderId="13" xfId="0" applyNumberFormat="1" applyFont="1" applyFill="1" applyBorder="1"/>
    <xf numFmtId="3" fontId="23" fillId="2" borderId="54" xfId="0" applyNumberFormat="1" applyFont="1" applyFill="1" applyBorder="1"/>
    <xf numFmtId="3" fontId="35" fillId="2" borderId="51" xfId="0" applyNumberFormat="1" applyFont="1" applyFill="1" applyBorder="1" applyAlignment="1">
      <alignment wrapText="1"/>
    </xf>
    <xf numFmtId="3" fontId="23" fillId="2" borderId="38" xfId="0" applyNumberFormat="1" applyFont="1" applyFill="1" applyBorder="1"/>
    <xf numFmtId="3" fontId="23" fillId="2" borderId="21" xfId="0" applyNumberFormat="1" applyFont="1" applyFill="1" applyBorder="1"/>
    <xf numFmtId="3" fontId="23" fillId="2" borderId="51" xfId="0" applyNumberFormat="1" applyFont="1" applyFill="1" applyBorder="1"/>
    <xf numFmtId="3" fontId="23" fillId="2" borderId="47" xfId="0" applyNumberFormat="1" applyFont="1" applyFill="1" applyBorder="1"/>
    <xf numFmtId="0" fontId="27" fillId="0" borderId="0" xfId="4" applyFont="1" applyAlignment="1">
      <alignment horizontal="left" vertical="center" wrapText="1"/>
    </xf>
    <xf numFmtId="4" fontId="61" fillId="0" borderId="0" xfId="4" applyNumberFormat="1" applyFont="1" applyAlignment="1">
      <alignment horizontal="center" vertical="center" wrapText="1"/>
    </xf>
    <xf numFmtId="174" fontId="61" fillId="0" borderId="0" xfId="4" applyNumberFormat="1" applyFont="1" applyAlignment="1">
      <alignment vertical="center" wrapText="1"/>
    </xf>
    <xf numFmtId="4" fontId="32" fillId="2" borderId="20" xfId="0" applyNumberFormat="1" applyFont="1" applyFill="1" applyBorder="1" applyAlignment="1">
      <alignment horizontal="right" vertical="center" wrapText="1"/>
    </xf>
    <xf numFmtId="0" fontId="51" fillId="2" borderId="1" xfId="0" applyFont="1" applyFill="1" applyBorder="1"/>
    <xf numFmtId="0" fontId="38" fillId="2" borderId="1" xfId="0" applyFont="1" applyFill="1" applyBorder="1" applyAlignment="1">
      <alignment horizontal="left" vertical="center" wrapText="1"/>
    </xf>
    <xf numFmtId="4" fontId="44" fillId="5" borderId="59" xfId="0" applyNumberFormat="1" applyFont="1" applyFill="1" applyBorder="1" applyAlignment="1">
      <alignment horizontal="right" vertical="center" wrapText="1"/>
    </xf>
    <xf numFmtId="0" fontId="0" fillId="0" borderId="1" xfId="0" applyBorder="1" applyAlignment="1">
      <alignment wrapText="1"/>
    </xf>
    <xf numFmtId="0" fontId="38" fillId="2" borderId="1" xfId="0" applyFont="1" applyFill="1" applyBorder="1" applyAlignment="1">
      <alignment horizontal="center" vertical="center" wrapText="1"/>
    </xf>
    <xf numFmtId="3" fontId="0" fillId="0" borderId="1" xfId="0" applyNumberFormat="1" applyBorder="1"/>
    <xf numFmtId="4" fontId="0" fillId="0" borderId="1" xfId="0" applyNumberFormat="1" applyBorder="1"/>
    <xf numFmtId="0" fontId="7" fillId="5" borderId="1" xfId="4" applyFill="1" applyBorder="1" applyAlignment="1">
      <alignment vertical="center"/>
    </xf>
    <xf numFmtId="164" fontId="24" fillId="5" borderId="0" xfId="4" applyNumberFormat="1" applyFont="1" applyFill="1"/>
    <xf numFmtId="3" fontId="34" fillId="5" borderId="1" xfId="0" applyNumberFormat="1" applyFont="1" applyFill="1" applyBorder="1"/>
    <xf numFmtId="1" fontId="61" fillId="5" borderId="0" xfId="4" applyNumberFormat="1" applyFont="1" applyFill="1" applyAlignment="1">
      <alignment vertical="center" wrapText="1"/>
    </xf>
    <xf numFmtId="4" fontId="32" fillId="5" borderId="1" xfId="0" applyNumberFormat="1" applyFont="1" applyFill="1" applyBorder="1" applyAlignment="1">
      <alignment horizontal="right" vertical="top" wrapText="1"/>
    </xf>
    <xf numFmtId="170" fontId="12" fillId="5" borderId="0" xfId="5" applyNumberFormat="1" applyFont="1" applyFill="1" applyAlignment="1">
      <alignment wrapText="1"/>
    </xf>
    <xf numFmtId="0" fontId="48" fillId="5" borderId="0" xfId="4" applyFont="1" applyFill="1"/>
    <xf numFmtId="0" fontId="7" fillId="5" borderId="1" xfId="4" applyFill="1" applyBorder="1"/>
    <xf numFmtId="4" fontId="34" fillId="5" borderId="1" xfId="0" applyNumberFormat="1" applyFont="1" applyFill="1" applyBorder="1" applyAlignment="1">
      <alignment horizontal="right" vertical="top" wrapText="1"/>
    </xf>
    <xf numFmtId="0" fontId="49" fillId="5" borderId="1" xfId="0" applyFont="1" applyFill="1" applyBorder="1"/>
    <xf numFmtId="4" fontId="34" fillId="5" borderId="20" xfId="0" applyNumberFormat="1" applyFont="1" applyFill="1" applyBorder="1" applyAlignment="1">
      <alignment horizontal="right" vertical="top" wrapText="1"/>
    </xf>
    <xf numFmtId="0" fontId="34" fillId="5" borderId="32" xfId="0" applyFont="1" applyFill="1" applyBorder="1" applyAlignment="1">
      <alignment wrapText="1"/>
    </xf>
    <xf numFmtId="4" fontId="32" fillId="5" borderId="15" xfId="0" applyNumberFormat="1" applyFont="1" applyFill="1" applyBorder="1" applyAlignment="1">
      <alignment horizontal="right" vertical="top" wrapText="1"/>
    </xf>
    <xf numFmtId="0" fontId="34" fillId="5" borderId="1" xfId="0" applyFont="1" applyFill="1" applyBorder="1" applyAlignment="1">
      <alignment vertical="center" wrapText="1"/>
    </xf>
    <xf numFmtId="4" fontId="32" fillId="5" borderId="69" xfId="0" applyNumberFormat="1" applyFont="1" applyFill="1" applyBorder="1" applyAlignment="1">
      <alignment horizontal="right" vertical="center" wrapText="1"/>
    </xf>
    <xf numFmtId="4" fontId="34" fillId="5" borderId="20" xfId="0" applyNumberFormat="1" applyFont="1" applyFill="1" applyBorder="1" applyAlignment="1">
      <alignment horizontal="right" vertical="center" wrapText="1"/>
    </xf>
    <xf numFmtId="0" fontId="57" fillId="5" borderId="32" xfId="0" applyFont="1" applyFill="1" applyBorder="1" applyAlignment="1">
      <alignment wrapText="1"/>
    </xf>
    <xf numFmtId="0" fontId="34" fillId="5" borderId="32" xfId="0" applyFont="1" applyFill="1" applyBorder="1" applyAlignment="1">
      <alignment horizontal="center" vertical="center" wrapText="1"/>
    </xf>
    <xf numFmtId="4" fontId="32" fillId="5" borderId="15" xfId="0" applyNumberFormat="1" applyFont="1" applyFill="1" applyBorder="1" applyAlignment="1">
      <alignment horizontal="center" vertical="center" wrapText="1"/>
    </xf>
    <xf numFmtId="4" fontId="34" fillId="5" borderId="21" xfId="0" applyNumberFormat="1" applyFont="1" applyFill="1" applyBorder="1" applyAlignment="1">
      <alignment horizontal="center" vertical="center" wrapText="1"/>
    </xf>
    <xf numFmtId="0" fontId="57" fillId="5" borderId="1" xfId="0" applyFont="1" applyFill="1" applyBorder="1" applyAlignment="1">
      <alignment horizontal="left" wrapText="1"/>
    </xf>
    <xf numFmtId="0" fontId="38" fillId="5" borderId="31" xfId="0" applyFont="1" applyFill="1" applyBorder="1" applyAlignment="1">
      <alignment wrapText="1"/>
    </xf>
    <xf numFmtId="4" fontId="36" fillId="5" borderId="13" xfId="0" applyNumberFormat="1" applyFont="1" applyFill="1" applyBorder="1" applyAlignment="1">
      <alignment horizontal="right" vertical="top" wrapText="1"/>
    </xf>
    <xf numFmtId="4" fontId="36" fillId="5" borderId="1" xfId="0" applyNumberFormat="1" applyFont="1" applyFill="1" applyBorder="1" applyAlignment="1">
      <alignment horizontal="right" vertical="top" wrapText="1"/>
    </xf>
    <xf numFmtId="0" fontId="7" fillId="5" borderId="20" xfId="4" applyFill="1" applyBorder="1"/>
    <xf numFmtId="4" fontId="33" fillId="5" borderId="20" xfId="0" applyNumberFormat="1" applyFont="1" applyFill="1" applyBorder="1" applyAlignment="1">
      <alignment horizontal="right" vertical="top" wrapText="1"/>
    </xf>
    <xf numFmtId="4" fontId="33" fillId="5" borderId="1" xfId="0" applyNumberFormat="1" applyFont="1" applyFill="1" applyBorder="1" applyAlignment="1">
      <alignment horizontal="right" vertical="top" wrapText="1"/>
    </xf>
    <xf numFmtId="4" fontId="36" fillId="5" borderId="1" xfId="0" applyNumberFormat="1" applyFont="1" applyFill="1" applyBorder="1" applyAlignment="1">
      <alignment horizontal="right" vertical="center" wrapText="1"/>
    </xf>
    <xf numFmtId="0" fontId="7" fillId="5" borderId="37" xfId="4" applyFill="1" applyBorder="1"/>
    <xf numFmtId="0" fontId="7" fillId="5" borderId="13" xfId="4" applyFill="1" applyBorder="1"/>
    <xf numFmtId="4" fontId="36" fillId="5" borderId="38" xfId="0" applyNumberFormat="1" applyFont="1" applyFill="1" applyBorder="1" applyAlignment="1">
      <alignment horizontal="right" vertical="top" wrapText="1"/>
    </xf>
    <xf numFmtId="4" fontId="36" fillId="5" borderId="21" xfId="0" applyNumberFormat="1" applyFont="1" applyFill="1" applyBorder="1" applyAlignment="1">
      <alignment horizontal="right" vertical="top" wrapText="1"/>
    </xf>
    <xf numFmtId="0" fontId="7" fillId="5" borderId="21" xfId="4" applyFill="1" applyBorder="1" applyAlignment="1">
      <alignment vertical="top"/>
    </xf>
    <xf numFmtId="4" fontId="36" fillId="5" borderId="20" xfId="0" applyNumberFormat="1" applyFont="1" applyFill="1" applyBorder="1" applyAlignment="1">
      <alignment horizontal="right" vertical="top" wrapText="1"/>
    </xf>
    <xf numFmtId="4" fontId="33" fillId="5" borderId="1" xfId="4" applyNumberFormat="1" applyFont="1" applyFill="1" applyBorder="1"/>
    <xf numFmtId="2" fontId="7" fillId="5" borderId="20" xfId="4" applyNumberFormat="1" applyFill="1" applyBorder="1" applyAlignment="1">
      <alignment vertical="center"/>
    </xf>
    <xf numFmtId="2" fontId="43" fillId="5" borderId="20" xfId="4" applyNumberFormat="1" applyFont="1" applyFill="1" applyBorder="1" applyAlignment="1">
      <alignment vertical="center"/>
    </xf>
    <xf numFmtId="2" fontId="43" fillId="5" borderId="1" xfId="4" applyNumberFormat="1" applyFont="1" applyFill="1" applyBorder="1"/>
    <xf numFmtId="4" fontId="33" fillId="5" borderId="20" xfId="0" applyNumberFormat="1" applyFont="1" applyFill="1" applyBorder="1" applyAlignment="1">
      <alignment horizontal="right" vertical="center" wrapText="1"/>
    </xf>
    <xf numFmtId="4" fontId="33" fillId="5" borderId="20" xfId="4" applyNumberFormat="1" applyFont="1" applyFill="1" applyBorder="1" applyAlignment="1">
      <alignment vertical="center"/>
    </xf>
    <xf numFmtId="4" fontId="33" fillId="5" borderId="1" xfId="4" applyNumberFormat="1" applyFont="1" applyFill="1" applyBorder="1" applyAlignment="1">
      <alignment vertical="center"/>
    </xf>
    <xf numFmtId="0" fontId="7" fillId="5" borderId="20" xfId="4" applyFill="1" applyBorder="1" applyAlignment="1">
      <alignment vertical="center"/>
    </xf>
    <xf numFmtId="4" fontId="7" fillId="5" borderId="56" xfId="4" applyNumberFormat="1" applyFill="1" applyBorder="1" applyAlignment="1">
      <alignment horizontal="center" vertical="center"/>
    </xf>
    <xf numFmtId="4" fontId="33" fillId="5" borderId="1" xfId="0" applyNumberFormat="1" applyFont="1" applyFill="1" applyBorder="1" applyAlignment="1">
      <alignment horizontal="right" vertical="center" wrapText="1"/>
    </xf>
    <xf numFmtId="4" fontId="33" fillId="5" borderId="20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0" fillId="2" borderId="3" xfId="0" applyFill="1" applyBorder="1" applyAlignment="1">
      <alignment vertical="center" wrapText="1"/>
    </xf>
    <xf numFmtId="4" fontId="44" fillId="5" borderId="17" xfId="0" applyNumberFormat="1" applyFont="1" applyFill="1" applyBorder="1" applyAlignment="1">
      <alignment horizontal="right" vertical="center" wrapText="1"/>
    </xf>
    <xf numFmtId="4" fontId="7" fillId="5" borderId="38" xfId="4" applyNumberFormat="1" applyFill="1" applyBorder="1" applyAlignment="1">
      <alignment horizontal="center" vertical="center"/>
    </xf>
    <xf numFmtId="4" fontId="44" fillId="2" borderId="20" xfId="0" applyNumberFormat="1" applyFont="1" applyFill="1" applyBorder="1" applyAlignment="1">
      <alignment horizontal="center" vertical="center" wrapText="1"/>
    </xf>
    <xf numFmtId="0" fontId="48" fillId="2" borderId="0" xfId="4" applyFont="1" applyFill="1" applyAlignment="1">
      <alignment vertical="center"/>
    </xf>
    <xf numFmtId="0" fontId="0" fillId="2" borderId="0" xfId="0" applyFill="1" applyAlignment="1">
      <alignment horizontal="center" vertical="center" wrapText="1"/>
    </xf>
    <xf numFmtId="4" fontId="34" fillId="6" borderId="20" xfId="0" applyNumberFormat="1" applyFont="1" applyFill="1" applyBorder="1" applyAlignment="1">
      <alignment horizontal="right" vertical="center" wrapText="1"/>
    </xf>
    <xf numFmtId="0" fontId="7" fillId="0" borderId="20" xfId="11" applyNumberFormat="1" applyFont="1" applyBorder="1" applyAlignment="1">
      <alignment vertical="center"/>
    </xf>
    <xf numFmtId="2" fontId="7" fillId="0" borderId="20" xfId="11" applyNumberFormat="1" applyFont="1" applyBorder="1" applyAlignment="1">
      <alignment vertical="center"/>
    </xf>
    <xf numFmtId="2" fontId="7" fillId="0" borderId="1" xfId="11" applyNumberFormat="1" applyFont="1" applyBorder="1" applyAlignment="1">
      <alignment vertical="center"/>
    </xf>
    <xf numFmtId="4" fontId="44" fillId="7" borderId="15" xfId="0" applyNumberFormat="1" applyFont="1" applyFill="1" applyBorder="1" applyAlignment="1">
      <alignment horizontal="right" vertical="center" wrapText="1"/>
    </xf>
    <xf numFmtId="0" fontId="0" fillId="6" borderId="0" xfId="0" applyFill="1" applyAlignment="1">
      <alignment vertical="center" wrapText="1"/>
    </xf>
    <xf numFmtId="4" fontId="44" fillId="7" borderId="0" xfId="0" applyNumberFormat="1" applyFont="1" applyFill="1" applyAlignment="1">
      <alignment horizontal="right" vertical="center" wrapText="1"/>
    </xf>
    <xf numFmtId="0" fontId="7" fillId="0" borderId="0" xfId="11" applyNumberFormat="1" applyFont="1" applyBorder="1" applyAlignment="1">
      <alignment vertical="center"/>
    </xf>
    <xf numFmtId="0" fontId="7" fillId="5" borderId="20" xfId="11" applyNumberFormat="1" applyFont="1" applyFill="1" applyBorder="1" applyAlignment="1">
      <alignment vertical="center"/>
    </xf>
    <xf numFmtId="0" fontId="19" fillId="2" borderId="1" xfId="4" applyFont="1" applyFill="1" applyBorder="1" applyAlignment="1">
      <alignment horizontal="center"/>
    </xf>
    <xf numFmtId="0" fontId="38" fillId="2" borderId="1" xfId="0" applyFont="1" applyFill="1" applyBorder="1" applyAlignment="1">
      <alignment wrapText="1"/>
    </xf>
    <xf numFmtId="4" fontId="33" fillId="2" borderId="20" xfId="4" applyNumberFormat="1" applyFont="1" applyFill="1" applyBorder="1" applyAlignment="1">
      <alignment vertical="center"/>
    </xf>
    <xf numFmtId="2" fontId="7" fillId="2" borderId="20" xfId="11" applyNumberFormat="1" applyFont="1" applyFill="1" applyBorder="1" applyAlignment="1">
      <alignment vertical="center"/>
    </xf>
    <xf numFmtId="2" fontId="7" fillId="2" borderId="1" xfId="11" applyNumberFormat="1" applyFont="1" applyFill="1" applyBorder="1" applyAlignment="1">
      <alignment vertical="center"/>
    </xf>
    <xf numFmtId="4" fontId="44" fillId="2" borderId="69" xfId="0" applyNumberFormat="1" applyFont="1" applyFill="1" applyBorder="1" applyAlignment="1">
      <alignment horizontal="right" vertical="center" wrapText="1"/>
    </xf>
    <xf numFmtId="2" fontId="44" fillId="2" borderId="69" xfId="0" applyNumberFormat="1" applyFont="1" applyFill="1" applyBorder="1" applyAlignment="1">
      <alignment horizontal="right" vertical="center" wrapText="1"/>
    </xf>
    <xf numFmtId="2" fontId="38" fillId="2" borderId="1" xfId="0" applyNumberFormat="1" applyFont="1" applyFill="1" applyBorder="1" applyAlignment="1">
      <alignment horizontal="left" vertical="center" wrapText="1"/>
    </xf>
    <xf numFmtId="4" fontId="7" fillId="5" borderId="47" xfId="4" applyNumberFormat="1" applyFill="1" applyBorder="1" applyAlignment="1">
      <alignment horizontal="center"/>
    </xf>
    <xf numFmtId="4" fontId="7" fillId="5" borderId="38" xfId="4" applyNumberFormat="1" applyFill="1" applyBorder="1" applyAlignment="1">
      <alignment horizontal="center"/>
    </xf>
    <xf numFmtId="0" fontId="0" fillId="6" borderId="35" xfId="0" applyFill="1" applyBorder="1" applyAlignment="1">
      <alignment vertical="center" wrapText="1"/>
    </xf>
    <xf numFmtId="0" fontId="48" fillId="5" borderId="1" xfId="4" applyFont="1" applyFill="1" applyBorder="1"/>
    <xf numFmtId="0" fontId="7" fillId="0" borderId="1" xfId="4" applyBorder="1" applyAlignment="1">
      <alignment horizontal="left"/>
    </xf>
    <xf numFmtId="0" fontId="7" fillId="0" borderId="35" xfId="4" applyBorder="1" applyAlignment="1">
      <alignment horizontal="left"/>
    </xf>
    <xf numFmtId="0" fontId="0" fillId="8" borderId="0" xfId="0" applyFill="1" applyAlignment="1">
      <alignment vertical="center" wrapText="1"/>
    </xf>
    <xf numFmtId="0" fontId="32" fillId="2" borderId="46" xfId="0" applyFont="1" applyFill="1" applyBorder="1" applyAlignment="1">
      <alignment wrapText="1"/>
    </xf>
    <xf numFmtId="0" fontId="0" fillId="5" borderId="1" xfId="0" applyFill="1" applyBorder="1" applyAlignment="1">
      <alignment horizontal="center"/>
    </xf>
    <xf numFmtId="2" fontId="60" fillId="2" borderId="1" xfId="0" applyNumberFormat="1" applyFont="1" applyFill="1" applyBorder="1" applyAlignment="1">
      <alignment horizontal="right" vertical="top" wrapText="1"/>
    </xf>
    <xf numFmtId="0" fontId="34" fillId="0" borderId="0" xfId="0" applyFont="1" applyAlignment="1">
      <alignment horizontal="center"/>
    </xf>
    <xf numFmtId="0" fontId="63" fillId="3" borderId="68" xfId="0" applyFont="1" applyFill="1" applyBorder="1" applyAlignment="1">
      <alignment horizontal="left" vertical="top"/>
    </xf>
    <xf numFmtId="0" fontId="63" fillId="3" borderId="1" xfId="0" applyFont="1" applyFill="1" applyBorder="1" applyAlignment="1">
      <alignment horizontal="left" vertical="top"/>
    </xf>
    <xf numFmtId="0" fontId="34" fillId="0" borderId="1" xfId="0" applyFont="1" applyBorder="1"/>
    <xf numFmtId="0" fontId="64" fillId="4" borderId="1" xfId="0" applyFont="1" applyFill="1" applyBorder="1" applyAlignment="1">
      <alignment horizontal="left" vertical="top"/>
    </xf>
    <xf numFmtId="4" fontId="64" fillId="4" borderId="1" xfId="0" applyNumberFormat="1" applyFont="1" applyFill="1" applyBorder="1" applyAlignment="1">
      <alignment horizontal="right" vertical="top"/>
    </xf>
    <xf numFmtId="0" fontId="65" fillId="4" borderId="1" xfId="0" applyFont="1" applyFill="1" applyBorder="1" applyAlignment="1">
      <alignment horizontal="left" vertical="top"/>
    </xf>
    <xf numFmtId="4" fontId="65" fillId="4" borderId="1" xfId="0" applyNumberFormat="1" applyFont="1" applyFill="1" applyBorder="1" applyAlignment="1">
      <alignment horizontal="right" vertical="top"/>
    </xf>
    <xf numFmtId="0" fontId="63" fillId="3" borderId="70" xfId="0" applyFont="1" applyFill="1" applyBorder="1" applyAlignment="1">
      <alignment horizontal="left" vertical="top"/>
    </xf>
    <xf numFmtId="4" fontId="63" fillId="3" borderId="70" xfId="0" applyNumberFormat="1" applyFont="1" applyFill="1" applyBorder="1" applyAlignment="1">
      <alignment horizontal="right" vertical="top"/>
    </xf>
    <xf numFmtId="0" fontId="34" fillId="0" borderId="0" xfId="0" applyFont="1" applyAlignment="1">
      <alignment horizontal="left"/>
    </xf>
    <xf numFmtId="0" fontId="66" fillId="3" borderId="70" xfId="0" applyFont="1" applyFill="1" applyBorder="1" applyAlignment="1">
      <alignment horizontal="left" vertical="top"/>
    </xf>
    <xf numFmtId="4" fontId="66" fillId="3" borderId="70" xfId="0" applyNumberFormat="1" applyFont="1" applyFill="1" applyBorder="1" applyAlignment="1">
      <alignment horizontal="right" vertical="top"/>
    </xf>
    <xf numFmtId="0" fontId="0" fillId="0" borderId="0" xfId="0" applyAlignment="1">
      <alignment horizontal="left"/>
    </xf>
    <xf numFmtId="0" fontId="16" fillId="2" borderId="0" xfId="10" applyFont="1" applyFill="1" applyBorder="1" applyAlignment="1" applyProtection="1">
      <alignment horizontal="left" wrapText="1"/>
    </xf>
    <xf numFmtId="0" fontId="0" fillId="0" borderId="1" xfId="0" applyBorder="1" applyAlignment="1">
      <alignment vertical="center"/>
    </xf>
    <xf numFmtId="0" fontId="67" fillId="9" borderId="1" xfId="11" applyNumberFormat="1" applyFont="1" applyFill="1" applyBorder="1" applyProtection="1"/>
    <xf numFmtId="0" fontId="0" fillId="0" borderId="1" xfId="0" applyBorder="1" applyAlignment="1">
      <alignment horizontal="center" vertical="center"/>
    </xf>
    <xf numFmtId="0" fontId="67" fillId="9" borderId="35" xfId="11" applyNumberFormat="1" applyFont="1" applyFill="1" applyBorder="1" applyAlignment="1">
      <alignment wrapText="1"/>
    </xf>
    <xf numFmtId="3" fontId="0" fillId="0" borderId="1" xfId="0" applyNumberFormat="1" applyBorder="1" applyAlignment="1">
      <alignment horizontal="center" vertical="center"/>
    </xf>
    <xf numFmtId="0" fontId="67" fillId="10" borderId="1" xfId="11" applyNumberFormat="1" applyFont="1" applyFill="1" applyBorder="1" applyAlignment="1">
      <alignment horizontal="left" vertical="center" wrapText="1"/>
    </xf>
    <xf numFmtId="0" fontId="39" fillId="5" borderId="3" xfId="0" applyFont="1" applyFill="1" applyBorder="1" applyAlignment="1">
      <alignment horizontal="center" wrapText="1"/>
    </xf>
    <xf numFmtId="4" fontId="44" fillId="2" borderId="1" xfId="0" applyNumberFormat="1" applyFont="1" applyFill="1" applyBorder="1" applyAlignment="1">
      <alignment horizontal="right" vertical="top" wrapText="1"/>
    </xf>
    <xf numFmtId="4" fontId="7" fillId="2" borderId="1" xfId="4" applyNumberForma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wrapText="1"/>
    </xf>
    <xf numFmtId="4" fontId="38" fillId="0" borderId="1" xfId="4" applyNumberFormat="1" applyFont="1" applyBorder="1" applyAlignment="1">
      <alignment horizontal="center" vertical="center"/>
    </xf>
    <xf numFmtId="0" fontId="38" fillId="0" borderId="1" xfId="11" applyNumberFormat="1" applyFont="1" applyBorder="1" applyAlignment="1">
      <alignment wrapText="1"/>
    </xf>
    <xf numFmtId="3" fontId="1" fillId="0" borderId="1" xfId="0" applyNumberFormat="1" applyFont="1" applyBorder="1" applyAlignment="1">
      <alignment horizontal="center" vertical="center"/>
    </xf>
    <xf numFmtId="4" fontId="67" fillId="0" borderId="1" xfId="11" applyNumberFormat="1" applyFont="1" applyBorder="1" applyAlignment="1">
      <alignment horizontal="center"/>
    </xf>
    <xf numFmtId="0" fontId="67" fillId="9" borderId="1" xfId="11" applyNumberFormat="1" applyFont="1" applyFill="1" applyBorder="1" applyAlignment="1" applyProtection="1">
      <alignment horizontal="left" vertical="center" wrapText="1"/>
    </xf>
    <xf numFmtId="4" fontId="67" fillId="9" borderId="1" xfId="11" applyNumberFormat="1" applyFont="1" applyFill="1" applyBorder="1" applyAlignment="1" applyProtection="1">
      <alignment horizontal="center"/>
    </xf>
    <xf numFmtId="0" fontId="1" fillId="0" borderId="1" xfId="0" applyFont="1" applyBorder="1"/>
    <xf numFmtId="4" fontId="34" fillId="11" borderId="1" xfId="0" applyNumberFormat="1" applyFont="1" applyFill="1" applyBorder="1" applyAlignment="1">
      <alignment horizontal="right" vertical="top" wrapText="1"/>
    </xf>
    <xf numFmtId="4" fontId="34" fillId="11" borderId="20" xfId="0" applyNumberFormat="1" applyFont="1" applyFill="1" applyBorder="1" applyAlignment="1">
      <alignment horizontal="right" vertical="top" wrapText="1"/>
    </xf>
    <xf numFmtId="0" fontId="51" fillId="0" borderId="1" xfId="0" applyFont="1" applyBorder="1" applyAlignment="1">
      <alignment horizontal="center"/>
    </xf>
    <xf numFmtId="0" fontId="39" fillId="11" borderId="16" xfId="0" applyFont="1" applyFill="1" applyBorder="1" applyAlignment="1">
      <alignment horizontal="left" wrapText="1"/>
    </xf>
    <xf numFmtId="0" fontId="39" fillId="11" borderId="1" xfId="0" applyFont="1" applyFill="1" applyBorder="1" applyAlignment="1">
      <alignment horizontal="left" wrapText="1"/>
    </xf>
    <xf numFmtId="2" fontId="51" fillId="11" borderId="1" xfId="0" applyNumberFormat="1" applyFont="1" applyFill="1" applyBorder="1"/>
    <xf numFmtId="0" fontId="68" fillId="11" borderId="1" xfId="0" applyFont="1" applyFill="1" applyBorder="1" applyAlignment="1">
      <alignment vertical="top" wrapText="1"/>
    </xf>
    <xf numFmtId="0" fontId="68" fillId="11" borderId="25" xfId="0" applyFont="1" applyFill="1" applyBorder="1" applyAlignment="1">
      <alignment vertical="top" wrapText="1"/>
    </xf>
    <xf numFmtId="4" fontId="0" fillId="11" borderId="1" xfId="0" applyNumberFormat="1" applyFill="1" applyBorder="1"/>
    <xf numFmtId="0" fontId="34" fillId="2" borderId="32" xfId="0" applyFont="1" applyFill="1" applyBorder="1" applyAlignment="1">
      <alignment horizontal="center" vertical="center" wrapText="1"/>
    </xf>
    <xf numFmtId="4" fontId="32" fillId="2" borderId="15" xfId="0" applyNumberFormat="1" applyFont="1" applyFill="1" applyBorder="1" applyAlignment="1">
      <alignment horizontal="center" vertical="center" wrapText="1"/>
    </xf>
    <xf numFmtId="4" fontId="34" fillId="2" borderId="20" xfId="0" applyNumberFormat="1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3" fontId="34" fillId="2" borderId="1" xfId="0" applyNumberFormat="1" applyFont="1" applyFill="1" applyBorder="1" applyAlignment="1">
      <alignment horizontal="right" vertical="center"/>
    </xf>
    <xf numFmtId="1" fontId="51" fillId="0" borderId="1" xfId="0" applyNumberFormat="1" applyFont="1" applyBorder="1"/>
    <xf numFmtId="0" fontId="69" fillId="0" borderId="0" xfId="0" applyFont="1"/>
    <xf numFmtId="4" fontId="32" fillId="5" borderId="35" xfId="0" applyNumberFormat="1" applyFont="1" applyFill="1" applyBorder="1" applyAlignment="1">
      <alignment horizontal="right" vertical="top" wrapText="1"/>
    </xf>
    <xf numFmtId="3" fontId="1" fillId="0" borderId="1" xfId="0" applyNumberFormat="1" applyFont="1" applyBorder="1"/>
    <xf numFmtId="0" fontId="38" fillId="2" borderId="35" xfId="0" applyFont="1" applyFill="1" applyBorder="1" applyAlignment="1">
      <alignment horizontal="center" vertical="center" wrapText="1"/>
    </xf>
    <xf numFmtId="4" fontId="44" fillId="2" borderId="1" xfId="0" applyNumberFormat="1" applyFont="1" applyFill="1" applyBorder="1" applyAlignment="1">
      <alignment horizontal="center" vertical="center" wrapText="1"/>
    </xf>
    <xf numFmtId="4" fontId="36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7" fillId="5" borderId="1" xfId="4" applyFill="1" applyBorder="1" applyAlignment="1">
      <alignment horizontal="center" vertical="center"/>
    </xf>
    <xf numFmtId="4" fontId="44" fillId="5" borderId="17" xfId="0" applyNumberFormat="1" applyFont="1" applyFill="1" applyBorder="1" applyAlignment="1">
      <alignment horizontal="center" vertical="center" wrapText="1"/>
    </xf>
    <xf numFmtId="0" fontId="0" fillId="0" borderId="35" xfId="0" applyBorder="1"/>
    <xf numFmtId="175" fontId="21" fillId="2" borderId="1" xfId="4" applyNumberFormat="1" applyFont="1" applyFill="1" applyBorder="1" applyAlignment="1">
      <alignment horizontal="center" vertical="center"/>
    </xf>
    <xf numFmtId="1" fontId="17" fillId="5" borderId="0" xfId="5" applyNumberFormat="1" applyFont="1" applyFill="1"/>
    <xf numFmtId="1" fontId="16" fillId="2" borderId="1" xfId="4" applyNumberFormat="1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left" wrapText="1"/>
    </xf>
    <xf numFmtId="0" fontId="16" fillId="2" borderId="1" xfId="4" applyFont="1" applyFill="1" applyBorder="1"/>
    <xf numFmtId="0" fontId="16" fillId="2" borderId="1" xfId="4" applyFont="1" applyFill="1" applyBorder="1" applyAlignment="1">
      <alignment vertical="center"/>
    </xf>
    <xf numFmtId="1" fontId="16" fillId="2" borderId="1" xfId="4" applyNumberFormat="1" applyFont="1" applyFill="1" applyBorder="1" applyAlignment="1">
      <alignment vertical="center"/>
    </xf>
    <xf numFmtId="2" fontId="16" fillId="2" borderId="1" xfId="4" applyNumberFormat="1" applyFont="1" applyFill="1" applyBorder="1"/>
    <xf numFmtId="2" fontId="16" fillId="2" borderId="1" xfId="1" applyNumberFormat="1" applyFont="1" applyFill="1" applyBorder="1"/>
    <xf numFmtId="2" fontId="16" fillId="2" borderId="1" xfId="4" applyNumberFormat="1" applyFont="1" applyFill="1" applyBorder="1" applyAlignment="1">
      <alignment wrapText="1"/>
    </xf>
    <xf numFmtId="0" fontId="17" fillId="8" borderId="1" xfId="4" applyFont="1" applyFill="1" applyBorder="1" applyAlignment="1">
      <alignment wrapText="1"/>
    </xf>
    <xf numFmtId="0" fontId="17" fillId="8" borderId="1" xfId="4" applyFont="1" applyFill="1" applyBorder="1"/>
    <xf numFmtId="2" fontId="0" fillId="0" borderId="1" xfId="0" applyNumberFormat="1" applyBorder="1"/>
    <xf numFmtId="0" fontId="71" fillId="0" borderId="1" xfId="0" applyFont="1" applyBorder="1"/>
    <xf numFmtId="4" fontId="33" fillId="2" borderId="1" xfId="0" applyNumberFormat="1" applyFont="1" applyFill="1" applyBorder="1" applyAlignment="1">
      <alignment horizontal="right" vertical="center" wrapText="1"/>
    </xf>
    <xf numFmtId="0" fontId="0" fillId="2" borderId="20" xfId="0" applyFill="1" applyBorder="1"/>
    <xf numFmtId="0" fontId="3" fillId="0" borderId="0" xfId="0" applyFont="1" applyProtection="1">
      <protection hidden="1"/>
    </xf>
    <xf numFmtId="0" fontId="3" fillId="0" borderId="0" xfId="0" applyFont="1" applyAlignment="1" applyProtection="1">
      <alignment vertical="center"/>
      <protection hidden="1"/>
    </xf>
    <xf numFmtId="0" fontId="23" fillId="0" borderId="6" xfId="0" applyFont="1" applyBorder="1" applyAlignment="1" applyProtection="1">
      <alignment horizontal="center" vertical="center" wrapText="1"/>
      <protection hidden="1"/>
    </xf>
    <xf numFmtId="0" fontId="23" fillId="0" borderId="2" xfId="0" applyFont="1" applyBorder="1" applyAlignment="1" applyProtection="1">
      <alignment horizontal="center" vertical="center" wrapText="1"/>
      <protection hidden="1"/>
    </xf>
    <xf numFmtId="0" fontId="31" fillId="0" borderId="2" xfId="0" applyFont="1" applyBorder="1" applyProtection="1">
      <protection hidden="1"/>
    </xf>
    <xf numFmtId="0" fontId="31" fillId="0" borderId="41" xfId="0" applyFont="1" applyBorder="1" applyAlignment="1" applyProtection="1">
      <alignment wrapText="1"/>
      <protection hidden="1"/>
    </xf>
    <xf numFmtId="0" fontId="31" fillId="2" borderId="9" xfId="0" applyFont="1" applyFill="1" applyBorder="1" applyProtection="1">
      <protection hidden="1"/>
    </xf>
    <xf numFmtId="0" fontId="23" fillId="0" borderId="6" xfId="0" applyFont="1" applyBorder="1" applyProtection="1">
      <protection hidden="1"/>
    </xf>
    <xf numFmtId="0" fontId="23" fillId="0" borderId="2" xfId="0" applyFont="1" applyBorder="1" applyProtection="1">
      <protection hidden="1"/>
    </xf>
    <xf numFmtId="0" fontId="31" fillId="0" borderId="11" xfId="0" applyFont="1" applyBorder="1" applyAlignment="1" applyProtection="1">
      <alignment horizontal="center"/>
      <protection hidden="1"/>
    </xf>
    <xf numFmtId="0" fontId="31" fillId="0" borderId="52" xfId="0" applyFont="1" applyBorder="1" applyAlignment="1" applyProtection="1">
      <alignment horizontal="left" wrapText="1"/>
      <protection hidden="1"/>
    </xf>
    <xf numFmtId="0" fontId="31" fillId="2" borderId="12" xfId="0" applyFont="1" applyFill="1" applyBorder="1" applyAlignment="1" applyProtection="1">
      <alignment horizontal="left"/>
      <protection hidden="1"/>
    </xf>
    <xf numFmtId="4" fontId="23" fillId="0" borderId="10" xfId="0" applyNumberFormat="1" applyFont="1" applyBorder="1" applyProtection="1">
      <protection hidden="1"/>
    </xf>
    <xf numFmtId="4" fontId="23" fillId="0" borderId="11" xfId="0" applyNumberFormat="1" applyFont="1" applyBorder="1" applyProtection="1">
      <protection hidden="1"/>
    </xf>
    <xf numFmtId="0" fontId="23" fillId="0" borderId="11" xfId="0" applyFont="1" applyBorder="1" applyProtection="1">
      <protection hidden="1"/>
    </xf>
    <xf numFmtId="0" fontId="50" fillId="0" borderId="1" xfId="10" applyNumberFormat="1" applyBorder="1" applyAlignment="1" applyProtection="1">
      <alignment horizontal="center"/>
      <protection hidden="1"/>
    </xf>
    <xf numFmtId="0" fontId="23" fillId="0" borderId="35" xfId="0" applyFont="1" applyBorder="1" applyAlignment="1" applyProtection="1">
      <alignment wrapText="1"/>
      <protection hidden="1"/>
    </xf>
    <xf numFmtId="3" fontId="31" fillId="2" borderId="17" xfId="0" applyNumberFormat="1" applyFont="1" applyFill="1" applyBorder="1" applyProtection="1">
      <protection hidden="1"/>
    </xf>
    <xf numFmtId="3" fontId="23" fillId="0" borderId="20" xfId="0" applyNumberFormat="1" applyFont="1" applyBorder="1" applyProtection="1">
      <protection hidden="1"/>
    </xf>
    <xf numFmtId="167" fontId="35" fillId="0" borderId="1" xfId="0" applyNumberFormat="1" applyFont="1" applyBorder="1" applyProtection="1">
      <protection hidden="1"/>
    </xf>
    <xf numFmtId="3" fontId="31" fillId="0" borderId="14" xfId="0" applyNumberFormat="1" applyFont="1" applyBorder="1" applyProtection="1">
      <protection hidden="1"/>
    </xf>
    <xf numFmtId="3" fontId="3" fillId="0" borderId="0" xfId="0" applyNumberFormat="1" applyFont="1" applyProtection="1">
      <protection hidden="1"/>
    </xf>
    <xf numFmtId="0" fontId="23" fillId="2" borderId="35" xfId="0" applyFont="1" applyFill="1" applyBorder="1" applyAlignment="1" applyProtection="1">
      <alignment horizontal="left" wrapText="1"/>
      <protection hidden="1"/>
    </xf>
    <xf numFmtId="3" fontId="31" fillId="2" borderId="59" xfId="0" applyNumberFormat="1" applyFont="1" applyFill="1" applyBorder="1" applyProtection="1">
      <protection hidden="1"/>
    </xf>
    <xf numFmtId="0" fontId="3" fillId="2" borderId="0" xfId="0" applyFont="1" applyFill="1" applyProtection="1">
      <protection hidden="1"/>
    </xf>
    <xf numFmtId="3" fontId="31" fillId="2" borderId="15" xfId="0" applyNumberFormat="1" applyFont="1" applyFill="1" applyBorder="1" applyProtection="1">
      <protection hidden="1"/>
    </xf>
    <xf numFmtId="3" fontId="23" fillId="0" borderId="1" xfId="0" applyNumberFormat="1" applyFont="1" applyBorder="1" applyProtection="1">
      <protection hidden="1"/>
    </xf>
    <xf numFmtId="9" fontId="31" fillId="2" borderId="15" xfId="0" applyNumberFormat="1" applyFont="1" applyFill="1" applyBorder="1" applyProtection="1">
      <protection hidden="1"/>
    </xf>
    <xf numFmtId="9" fontId="23" fillId="0" borderId="20" xfId="0" applyNumberFormat="1" applyFont="1" applyBorder="1" applyProtection="1">
      <protection hidden="1"/>
    </xf>
    <xf numFmtId="9" fontId="23" fillId="0" borderId="1" xfId="0" applyNumberFormat="1" applyFont="1" applyBorder="1" applyProtection="1">
      <protection hidden="1"/>
    </xf>
    <xf numFmtId="1" fontId="23" fillId="0" borderId="1" xfId="0" applyNumberFormat="1" applyFont="1" applyBorder="1" applyProtection="1">
      <protection hidden="1"/>
    </xf>
    <xf numFmtId="3" fontId="3" fillId="2" borderId="0" xfId="0" applyNumberFormat="1" applyFont="1" applyFill="1" applyProtection="1">
      <protection hidden="1"/>
    </xf>
    <xf numFmtId="0" fontId="23" fillId="2" borderId="35" xfId="0" applyFont="1" applyFill="1" applyBorder="1" applyAlignment="1" applyProtection="1">
      <alignment wrapText="1"/>
      <protection hidden="1"/>
    </xf>
    <xf numFmtId="0" fontId="23" fillId="0" borderId="1" xfId="0" applyFont="1" applyBorder="1" applyAlignment="1" applyProtection="1">
      <alignment horizontal="center"/>
      <protection hidden="1"/>
    </xf>
    <xf numFmtId="0" fontId="31" fillId="5" borderId="35" xfId="0" applyFont="1" applyFill="1" applyBorder="1" applyAlignment="1" applyProtection="1">
      <alignment horizontal="left" wrapText="1"/>
      <protection hidden="1"/>
    </xf>
    <xf numFmtId="3" fontId="31" fillId="5" borderId="15" xfId="0" applyNumberFormat="1" applyFont="1" applyFill="1" applyBorder="1" applyProtection="1">
      <protection hidden="1"/>
    </xf>
    <xf numFmtId="3" fontId="31" fillId="5" borderId="20" xfId="0" applyNumberFormat="1" applyFont="1" applyFill="1" applyBorder="1" applyProtection="1">
      <protection hidden="1"/>
    </xf>
    <xf numFmtId="0" fontId="31" fillId="0" borderId="1" xfId="0" applyFont="1" applyBorder="1" applyAlignment="1" applyProtection="1">
      <alignment horizontal="center"/>
      <protection hidden="1"/>
    </xf>
    <xf numFmtId="0" fontId="31" fillId="0" borderId="35" xfId="0" applyFont="1" applyBorder="1" applyAlignment="1" applyProtection="1">
      <alignment vertical="center" wrapText="1"/>
      <protection hidden="1"/>
    </xf>
    <xf numFmtId="3" fontId="31" fillId="2" borderId="15" xfId="0" applyNumberFormat="1" applyFont="1" applyFill="1" applyBorder="1" applyAlignment="1" applyProtection="1">
      <alignment horizontal="center" vertical="center"/>
      <protection hidden="1"/>
    </xf>
    <xf numFmtId="3" fontId="31" fillId="2" borderId="20" xfId="0" applyNumberFormat="1" applyFont="1" applyFill="1" applyBorder="1" applyProtection="1">
      <protection hidden="1"/>
    </xf>
    <xf numFmtId="0" fontId="31" fillId="0" borderId="35" xfId="0" applyFont="1" applyBorder="1" applyAlignment="1" applyProtection="1">
      <alignment horizontal="left" wrapText="1"/>
      <protection hidden="1"/>
    </xf>
    <xf numFmtId="0" fontId="23" fillId="0" borderId="1" xfId="0" applyFont="1" applyBorder="1" applyProtection="1">
      <protection hidden="1"/>
    </xf>
    <xf numFmtId="0" fontId="50" fillId="2" borderId="21" xfId="10" applyNumberFormat="1" applyFill="1" applyBorder="1" applyAlignment="1" applyProtection="1">
      <alignment horizontal="center"/>
      <protection hidden="1"/>
    </xf>
    <xf numFmtId="3" fontId="32" fillId="5" borderId="51" xfId="0" applyNumberFormat="1" applyFont="1" applyFill="1" applyBorder="1" applyAlignment="1" applyProtection="1">
      <alignment horizontal="center" wrapText="1"/>
      <protection hidden="1"/>
    </xf>
    <xf numFmtId="3" fontId="31" fillId="5" borderId="17" xfId="0" applyNumberFormat="1" applyFont="1" applyFill="1" applyBorder="1" applyProtection="1">
      <protection hidden="1"/>
    </xf>
    <xf numFmtId="3" fontId="31" fillId="5" borderId="38" xfId="0" applyNumberFormat="1" applyFont="1" applyFill="1" applyBorder="1" applyProtection="1">
      <protection hidden="1"/>
    </xf>
    <xf numFmtId="0" fontId="6" fillId="2" borderId="0" xfId="0" applyFont="1" applyFill="1" applyProtection="1">
      <protection hidden="1"/>
    </xf>
    <xf numFmtId="0" fontId="31" fillId="0" borderId="24" xfId="0" applyFont="1" applyBorder="1" applyAlignment="1" applyProtection="1">
      <alignment horizontal="center"/>
      <protection hidden="1"/>
    </xf>
    <xf numFmtId="3" fontId="40" fillId="5" borderId="53" xfId="0" applyNumberFormat="1" applyFont="1" applyFill="1" applyBorder="1" applyAlignment="1" applyProtection="1">
      <alignment horizontal="center" wrapText="1"/>
      <protection hidden="1"/>
    </xf>
    <xf numFmtId="3" fontId="31" fillId="5" borderId="14" xfId="0" applyNumberFormat="1" applyFont="1" applyFill="1" applyBorder="1" applyProtection="1">
      <protection hidden="1"/>
    </xf>
    <xf numFmtId="3" fontId="31" fillId="5" borderId="39" xfId="0" applyNumberFormat="1" applyFont="1" applyFill="1" applyBorder="1" applyProtection="1">
      <protection hidden="1"/>
    </xf>
    <xf numFmtId="3" fontId="31" fillId="5" borderId="22" xfId="0" applyNumberFormat="1" applyFont="1" applyFill="1" applyBorder="1" applyProtection="1">
      <protection hidden="1"/>
    </xf>
    <xf numFmtId="0" fontId="6" fillId="0" borderId="26" xfId="0" applyFont="1" applyBorder="1" applyProtection="1">
      <protection hidden="1"/>
    </xf>
    <xf numFmtId="0" fontId="50" fillId="0" borderId="21" xfId="10" applyNumberFormat="1" applyFill="1" applyBorder="1" applyAlignment="1" applyProtection="1">
      <alignment horizontal="center"/>
      <protection hidden="1"/>
    </xf>
    <xf numFmtId="3" fontId="35" fillId="2" borderId="54" xfId="0" applyNumberFormat="1" applyFont="1" applyFill="1" applyBorder="1" applyAlignment="1" applyProtection="1">
      <alignment wrapText="1"/>
      <protection hidden="1"/>
    </xf>
    <xf numFmtId="3" fontId="70" fillId="2" borderId="14" xfId="0" applyNumberFormat="1" applyFont="1" applyFill="1" applyBorder="1" applyProtection="1">
      <protection hidden="1"/>
    </xf>
    <xf numFmtId="3" fontId="23" fillId="0" borderId="56" xfId="0" applyNumberFormat="1" applyFont="1" applyBorder="1" applyProtection="1">
      <protection hidden="1"/>
    </xf>
    <xf numFmtId="0" fontId="50" fillId="0" borderId="21" xfId="10" quotePrefix="1" applyNumberFormat="1" applyFill="1" applyBorder="1" applyAlignment="1" applyProtection="1">
      <alignment horizontal="center"/>
      <protection hidden="1"/>
    </xf>
    <xf numFmtId="3" fontId="35" fillId="0" borderId="35" xfId="0" applyNumberFormat="1" applyFont="1" applyBorder="1" applyAlignment="1" applyProtection="1">
      <alignment wrapText="1"/>
      <protection hidden="1"/>
    </xf>
    <xf numFmtId="3" fontId="35" fillId="2" borderId="35" xfId="0" applyNumberFormat="1" applyFont="1" applyFill="1" applyBorder="1" applyAlignment="1" applyProtection="1">
      <alignment wrapText="1"/>
      <protection hidden="1"/>
    </xf>
    <xf numFmtId="3" fontId="35" fillId="2" borderId="35" xfId="0" applyNumberFormat="1" applyFont="1" applyFill="1" applyBorder="1" applyAlignment="1" applyProtection="1">
      <alignment horizontal="left" wrapText="1"/>
      <protection hidden="1"/>
    </xf>
    <xf numFmtId="3" fontId="70" fillId="0" borderId="14" xfId="0" applyNumberFormat="1" applyFont="1" applyBorder="1" applyProtection="1">
      <protection hidden="1"/>
    </xf>
    <xf numFmtId="3" fontId="35" fillId="0" borderId="51" xfId="0" applyNumberFormat="1" applyFont="1" applyBorder="1" applyAlignment="1" applyProtection="1">
      <alignment wrapText="1"/>
      <protection hidden="1"/>
    </xf>
    <xf numFmtId="3" fontId="23" fillId="0" borderId="38" xfId="0" applyNumberFormat="1" applyFont="1" applyBorder="1" applyProtection="1">
      <protection hidden="1"/>
    </xf>
    <xf numFmtId="3" fontId="23" fillId="0" borderId="21" xfId="0" applyNumberFormat="1" applyFont="1" applyBorder="1" applyProtection="1">
      <protection hidden="1"/>
    </xf>
    <xf numFmtId="0" fontId="31" fillId="2" borderId="24" xfId="0" applyFont="1" applyFill="1" applyBorder="1" applyAlignment="1" applyProtection="1">
      <alignment horizontal="center"/>
      <protection hidden="1"/>
    </xf>
    <xf numFmtId="0" fontId="6" fillId="5" borderId="26" xfId="0" applyFont="1" applyFill="1" applyBorder="1" applyProtection="1">
      <protection hidden="1"/>
    </xf>
    <xf numFmtId="3" fontId="35" fillId="0" borderId="54" xfId="0" applyNumberFormat="1" applyFont="1" applyBorder="1" applyAlignment="1" applyProtection="1">
      <alignment wrapText="1"/>
      <protection hidden="1"/>
    </xf>
    <xf numFmtId="3" fontId="23" fillId="0" borderId="13" xfId="0" applyNumberFormat="1" applyFont="1" applyBorder="1" applyProtection="1">
      <protection hidden="1"/>
    </xf>
    <xf numFmtId="0" fontId="31" fillId="2" borderId="24" xfId="0" applyFont="1" applyFill="1" applyBorder="1" applyAlignment="1" applyProtection="1">
      <alignment horizontal="right"/>
      <protection hidden="1"/>
    </xf>
    <xf numFmtId="0" fontId="50" fillId="0" borderId="13" xfId="10" applyNumberFormat="1" applyBorder="1" applyAlignment="1" applyProtection="1">
      <alignment horizontal="center"/>
      <protection hidden="1"/>
    </xf>
    <xf numFmtId="3" fontId="35" fillId="2" borderId="51" xfId="0" applyNumberFormat="1" applyFont="1" applyFill="1" applyBorder="1" applyAlignment="1" applyProtection="1">
      <alignment wrapText="1"/>
      <protection hidden="1"/>
    </xf>
    <xf numFmtId="0" fontId="50" fillId="0" borderId="13" xfId="10" applyNumberFormat="1" applyBorder="1" applyAlignment="1" applyProtection="1">
      <alignment horizontal="center" vertical="center"/>
      <protection hidden="1"/>
    </xf>
    <xf numFmtId="0" fontId="50" fillId="2" borderId="13" xfId="10" applyNumberFormat="1" applyFill="1" applyBorder="1" applyAlignment="1" applyProtection="1">
      <alignment horizontal="center"/>
      <protection hidden="1"/>
    </xf>
    <xf numFmtId="3" fontId="35" fillId="2" borderId="53" xfId="0" applyNumberFormat="1" applyFont="1" applyFill="1" applyBorder="1" applyAlignment="1" applyProtection="1">
      <alignment horizontal="left" wrapText="1"/>
      <protection hidden="1"/>
    </xf>
    <xf numFmtId="3" fontId="23" fillId="2" borderId="39" xfId="0" applyNumberFormat="1" applyFont="1" applyFill="1" applyBorder="1" applyProtection="1">
      <protection hidden="1"/>
    </xf>
    <xf numFmtId="3" fontId="23" fillId="2" borderId="22" xfId="0" applyNumberFormat="1" applyFont="1" applyFill="1" applyBorder="1" applyProtection="1">
      <protection hidden="1"/>
    </xf>
    <xf numFmtId="0" fontId="6" fillId="2" borderId="26" xfId="0" applyFont="1" applyFill="1" applyBorder="1" applyProtection="1">
      <protection hidden="1"/>
    </xf>
    <xf numFmtId="0" fontId="31" fillId="2" borderId="29" xfId="0" applyFont="1" applyFill="1" applyBorder="1" applyAlignment="1" applyProtection="1">
      <alignment horizontal="center"/>
      <protection hidden="1"/>
    </xf>
    <xf numFmtId="3" fontId="40" fillId="5" borderId="55" xfId="0" applyNumberFormat="1" applyFont="1" applyFill="1" applyBorder="1" applyAlignment="1" applyProtection="1">
      <alignment horizontal="center" wrapText="1"/>
      <protection hidden="1"/>
    </xf>
    <xf numFmtId="3" fontId="31" fillId="5" borderId="44" xfId="0" applyNumberFormat="1" applyFont="1" applyFill="1" applyBorder="1" applyProtection="1">
      <protection hidden="1"/>
    </xf>
    <xf numFmtId="3" fontId="31" fillId="5" borderId="30" xfId="0" applyNumberFormat="1" applyFont="1" applyFill="1" applyBorder="1" applyProtection="1">
      <protection hidden="1"/>
    </xf>
    <xf numFmtId="0" fontId="6" fillId="5" borderId="27" xfId="0" applyFont="1" applyFill="1" applyBorder="1" applyProtection="1">
      <protection hidden="1"/>
    </xf>
    <xf numFmtId="3" fontId="31" fillId="2" borderId="14" xfId="0" applyNumberFormat="1" applyFont="1" applyFill="1" applyBorder="1" applyProtection="1">
      <protection hidden="1"/>
    </xf>
    <xf numFmtId="3" fontId="35" fillId="2" borderId="1" xfId="0" applyNumberFormat="1" applyFont="1" applyFill="1" applyBorder="1" applyAlignment="1" applyProtection="1">
      <alignment wrapText="1"/>
      <protection hidden="1"/>
    </xf>
    <xf numFmtId="3" fontId="31" fillId="2" borderId="58" xfId="0" applyNumberFormat="1" applyFont="1" applyFill="1" applyBorder="1" applyProtection="1">
      <protection hidden="1"/>
    </xf>
    <xf numFmtId="3" fontId="40" fillId="5" borderId="54" xfId="0" applyNumberFormat="1" applyFont="1" applyFill="1" applyBorder="1" applyAlignment="1" applyProtection="1">
      <alignment wrapText="1"/>
      <protection hidden="1"/>
    </xf>
    <xf numFmtId="3" fontId="70" fillId="5" borderId="14" xfId="0" applyNumberFormat="1" applyFont="1" applyFill="1" applyBorder="1" applyProtection="1">
      <protection hidden="1"/>
    </xf>
    <xf numFmtId="0" fontId="31" fillId="0" borderId="28" xfId="0" applyFont="1" applyBorder="1" applyAlignment="1" applyProtection="1">
      <alignment horizontal="center"/>
      <protection hidden="1"/>
    </xf>
    <xf numFmtId="3" fontId="70" fillId="2" borderId="59" xfId="0" applyNumberFormat="1" applyFont="1" applyFill="1" applyBorder="1" applyProtection="1">
      <protection hidden="1"/>
    </xf>
    <xf numFmtId="0" fontId="50" fillId="0" borderId="0" xfId="10" applyNumberFormat="1" applyBorder="1" applyAlignment="1" applyProtection="1">
      <alignment horizontal="center"/>
      <protection hidden="1"/>
    </xf>
    <xf numFmtId="3" fontId="40" fillId="5" borderId="3" xfId="0" applyNumberFormat="1" applyFont="1" applyFill="1" applyBorder="1" applyAlignment="1" applyProtection="1">
      <alignment horizontal="center" wrapText="1"/>
      <protection hidden="1"/>
    </xf>
    <xf numFmtId="3" fontId="70" fillId="5" borderId="15" xfId="0" applyNumberFormat="1" applyFont="1" applyFill="1" applyBorder="1" applyProtection="1">
      <protection hidden="1"/>
    </xf>
    <xf numFmtId="3" fontId="31" fillId="5" borderId="24" xfId="0" applyNumberFormat="1" applyFont="1" applyFill="1" applyBorder="1" applyProtection="1">
      <protection hidden="1"/>
    </xf>
    <xf numFmtId="3" fontId="31" fillId="5" borderId="58" xfId="0" applyNumberFormat="1" applyFont="1" applyFill="1" applyBorder="1" applyProtection="1">
      <protection hidden="1"/>
    </xf>
    <xf numFmtId="0" fontId="31" fillId="0" borderId="1" xfId="0" applyFont="1" applyBorder="1" applyAlignment="1" applyProtection="1">
      <alignment horizontal="right"/>
      <protection hidden="1"/>
    </xf>
    <xf numFmtId="4" fontId="31" fillId="2" borderId="15" xfId="0" applyNumberFormat="1" applyFont="1" applyFill="1" applyBorder="1" applyAlignment="1" applyProtection="1">
      <alignment horizontal="right"/>
      <protection hidden="1"/>
    </xf>
    <xf numFmtId="4" fontId="23" fillId="0" borderId="10" xfId="1" applyNumberFormat="1" applyFont="1" applyBorder="1" applyAlignment="1" applyProtection="1">
      <alignment horizontal="right"/>
      <protection hidden="1"/>
    </xf>
    <xf numFmtId="4" fontId="23" fillId="0" borderId="11" xfId="1" applyNumberFormat="1" applyFont="1" applyBorder="1" applyAlignment="1" applyProtection="1">
      <alignment horizontal="right"/>
      <protection hidden="1"/>
    </xf>
    <xf numFmtId="0" fontId="31" fillId="0" borderId="35" xfId="0" applyFont="1" applyBorder="1" applyAlignment="1" applyProtection="1">
      <alignment wrapText="1"/>
      <protection hidden="1"/>
    </xf>
    <xf numFmtId="167" fontId="31" fillId="2" borderId="57" xfId="0" applyNumberFormat="1" applyFont="1" applyFill="1" applyBorder="1" applyProtection="1">
      <protection hidden="1"/>
    </xf>
    <xf numFmtId="167" fontId="23" fillId="2" borderId="20" xfId="0" applyNumberFormat="1" applyFont="1" applyFill="1" applyBorder="1" applyProtection="1">
      <protection hidden="1"/>
    </xf>
    <xf numFmtId="0" fontId="30" fillId="0" borderId="0" xfId="0" applyFont="1" applyAlignment="1" applyProtection="1">
      <alignment wrapText="1"/>
      <protection hidden="1"/>
    </xf>
    <xf numFmtId="166" fontId="3" fillId="2" borderId="0" xfId="0" applyNumberFormat="1" applyFont="1" applyFill="1" applyProtection="1">
      <protection hidden="1"/>
    </xf>
    <xf numFmtId="166" fontId="3" fillId="0" borderId="0" xfId="0" applyNumberFormat="1" applyFont="1" applyProtection="1">
      <protection hidden="1"/>
    </xf>
    <xf numFmtId="168" fontId="3" fillId="0" borderId="0" xfId="0" applyNumberFormat="1" applyFont="1" applyProtection="1">
      <protection hidden="1"/>
    </xf>
    <xf numFmtId="4" fontId="3" fillId="2" borderId="0" xfId="0" applyNumberFormat="1" applyFont="1" applyFill="1" applyProtection="1">
      <protection hidden="1"/>
    </xf>
    <xf numFmtId="0" fontId="23" fillId="0" borderId="60" xfId="0" applyFont="1" applyBorder="1" applyAlignment="1" applyProtection="1">
      <alignment horizontal="center" vertical="center"/>
      <protection hidden="1"/>
    </xf>
    <xf numFmtId="0" fontId="23" fillId="0" borderId="61" xfId="0" applyFont="1" applyBorder="1" applyAlignment="1" applyProtection="1">
      <alignment horizontal="center" vertical="center"/>
      <protection hidden="1"/>
    </xf>
    <xf numFmtId="0" fontId="23" fillId="0" borderId="6" xfId="0" applyFont="1" applyBorder="1" applyAlignment="1" applyProtection="1">
      <alignment horizontal="center" vertical="center"/>
      <protection hidden="1"/>
    </xf>
    <xf numFmtId="0" fontId="31" fillId="2" borderId="49" xfId="0" applyFont="1" applyFill="1" applyBorder="1" applyAlignment="1" applyProtection="1">
      <alignment horizontal="center" vertical="center" wrapText="1"/>
      <protection hidden="1"/>
    </xf>
    <xf numFmtId="0" fontId="31" fillId="2" borderId="62" xfId="0" applyFont="1" applyFill="1" applyBorder="1" applyAlignment="1" applyProtection="1">
      <alignment horizontal="center" vertical="center" wrapText="1"/>
      <protection hidden="1"/>
    </xf>
    <xf numFmtId="0" fontId="31" fillId="0" borderId="63" xfId="0" applyFont="1" applyBorder="1" applyAlignment="1" applyProtection="1">
      <alignment horizontal="center" vertical="center" wrapText="1"/>
      <protection hidden="1"/>
    </xf>
    <xf numFmtId="0" fontId="31" fillId="0" borderId="64" xfId="0" applyFont="1" applyBorder="1" applyAlignment="1" applyProtection="1">
      <alignment horizontal="center" vertical="center" wrapText="1"/>
      <protection hidden="1"/>
    </xf>
    <xf numFmtId="0" fontId="31" fillId="0" borderId="11" xfId="0" applyFont="1" applyBorder="1" applyAlignment="1" applyProtection="1">
      <alignment horizontal="center" vertical="center" wrapText="1"/>
      <protection hidden="1"/>
    </xf>
    <xf numFmtId="0" fontId="31" fillId="0" borderId="65" xfId="0" applyFont="1" applyBorder="1" applyAlignment="1" applyProtection="1">
      <alignment horizontal="center" vertical="center" wrapText="1"/>
      <protection hidden="1"/>
    </xf>
    <xf numFmtId="0" fontId="23" fillId="0" borderId="1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wrapText="1"/>
    </xf>
    <xf numFmtId="0" fontId="31" fillId="0" borderId="4" xfId="0" applyFont="1" applyBorder="1" applyAlignment="1">
      <alignment horizontal="center" wrapText="1"/>
    </xf>
    <xf numFmtId="0" fontId="31" fillId="0" borderId="5" xfId="0" applyFont="1" applyBorder="1" applyAlignment="1">
      <alignment horizont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5" xfId="0" applyFont="1" applyBorder="1" applyAlignment="1">
      <alignment horizontal="center" vertical="center" wrapText="1"/>
    </xf>
    <xf numFmtId="0" fontId="31" fillId="0" borderId="52" xfId="0" applyFont="1" applyBorder="1" applyAlignment="1">
      <alignment horizontal="center" vertical="center" wrapText="1"/>
    </xf>
    <xf numFmtId="0" fontId="31" fillId="0" borderId="66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/>
    </xf>
    <xf numFmtId="0" fontId="31" fillId="2" borderId="5" xfId="0" applyFont="1" applyFill="1" applyBorder="1" applyAlignment="1">
      <alignment horizontal="center" vertical="center"/>
    </xf>
    <xf numFmtId="0" fontId="31" fillId="2" borderId="43" xfId="0" applyFont="1" applyFill="1" applyBorder="1" applyAlignment="1">
      <alignment horizontal="center" vertical="center"/>
    </xf>
    <xf numFmtId="0" fontId="31" fillId="2" borderId="67" xfId="0" applyFont="1" applyFill="1" applyBorder="1" applyAlignment="1">
      <alignment horizontal="center" vertical="center"/>
    </xf>
    <xf numFmtId="0" fontId="8" fillId="0" borderId="0" xfId="4" applyFont="1" applyAlignment="1">
      <alignment vertical="center" wrapText="1"/>
    </xf>
    <xf numFmtId="0" fontId="7" fillId="0" borderId="0" xfId="4" applyAlignment="1">
      <alignment vertical="center" wrapText="1"/>
    </xf>
    <xf numFmtId="0" fontId="8" fillId="0" borderId="0" xfId="4" applyFont="1" applyAlignment="1">
      <alignment wrapText="1"/>
    </xf>
    <xf numFmtId="0" fontId="7" fillId="0" borderId="0" xfId="4" applyAlignment="1">
      <alignment wrapText="1"/>
    </xf>
    <xf numFmtId="0" fontId="16" fillId="0" borderId="0" xfId="4" applyFont="1" applyAlignment="1">
      <alignment horizontal="justify" vertical="center" wrapText="1"/>
    </xf>
    <xf numFmtId="0" fontId="8" fillId="0" borderId="0" xfId="4" applyFont="1" applyAlignment="1">
      <alignment horizontal="left" vertical="center" wrapText="1"/>
    </xf>
    <xf numFmtId="0" fontId="59" fillId="0" borderId="0" xfId="10" applyFont="1" applyAlignment="1" applyProtection="1">
      <alignment horizontal="center"/>
    </xf>
    <xf numFmtId="0" fontId="17" fillId="0" borderId="0" xfId="4" applyFont="1" applyAlignment="1">
      <alignment horizontal="justify" vertical="center" wrapText="1"/>
    </xf>
    <xf numFmtId="0" fontId="17" fillId="0" borderId="0" xfId="4" applyFont="1" applyAlignment="1">
      <alignment horizontal="left" vertical="center" wrapText="1"/>
    </xf>
    <xf numFmtId="0" fontId="17" fillId="0" borderId="0" xfId="4" applyFont="1" applyAlignment="1">
      <alignment horizontal="center" vertical="center" wrapText="1"/>
    </xf>
    <xf numFmtId="0" fontId="24" fillId="0" borderId="0" xfId="4" applyFont="1" applyAlignment="1">
      <alignment horizontal="center" vertical="center" wrapText="1"/>
    </xf>
    <xf numFmtId="0" fontId="32" fillId="2" borderId="46" xfId="0" applyFont="1" applyFill="1" applyBorder="1" applyAlignment="1">
      <alignment horizontal="center" wrapText="1"/>
    </xf>
    <xf numFmtId="0" fontId="8" fillId="2" borderId="0" xfId="4" applyFont="1" applyFill="1" applyAlignment="1">
      <alignment horizontal="center" vertical="top" wrapText="1"/>
    </xf>
    <xf numFmtId="0" fontId="8" fillId="2" borderId="0" xfId="4" applyFont="1" applyFill="1" applyAlignment="1">
      <alignment horizontal="left" vertical="top" wrapText="1"/>
    </xf>
    <xf numFmtId="0" fontId="17" fillId="0" borderId="0" xfId="4" applyFont="1" applyAlignment="1">
      <alignment horizontal="left" vertical="center"/>
    </xf>
    <xf numFmtId="0" fontId="50" fillId="2" borderId="0" xfId="10" applyFill="1" applyAlignment="1" applyProtection="1">
      <alignment horizontal="center"/>
    </xf>
    <xf numFmtId="0" fontId="56" fillId="2" borderId="0" xfId="10" applyFont="1" applyFill="1" applyAlignment="1" applyProtection="1">
      <alignment horizontal="left" wrapText="1"/>
    </xf>
    <xf numFmtId="0" fontId="16" fillId="2" borderId="0" xfId="10" applyFont="1" applyFill="1" applyBorder="1" applyAlignment="1" applyProtection="1">
      <alignment horizontal="left" wrapText="1"/>
    </xf>
    <xf numFmtId="0" fontId="53" fillId="2" borderId="0" xfId="0" applyFont="1" applyFill="1" applyAlignment="1">
      <alignment horizontal="left" wrapText="1"/>
    </xf>
    <xf numFmtId="0" fontId="0" fillId="2" borderId="0" xfId="0" applyFill="1"/>
    <xf numFmtId="0" fontId="16" fillId="2" borderId="0" xfId="10" applyFont="1" applyFill="1" applyAlignment="1" applyProtection="1">
      <alignment horizontal="left" wrapText="1"/>
    </xf>
    <xf numFmtId="0" fontId="16" fillId="2" borderId="0" xfId="10" applyFont="1" applyFill="1" applyAlignment="1" applyProtection="1">
      <alignment horizontal="left" vertical="top" wrapText="1"/>
    </xf>
    <xf numFmtId="0" fontId="16" fillId="2" borderId="0" xfId="10" applyFont="1" applyFill="1" applyAlignment="1" applyProtection="1">
      <alignment horizontal="left" vertical="center" wrapText="1"/>
    </xf>
    <xf numFmtId="0" fontId="50" fillId="0" borderId="0" xfId="10" applyAlignment="1" applyProtection="1"/>
    <xf numFmtId="0" fontId="59" fillId="2" borderId="0" xfId="10" applyFont="1" applyFill="1" applyAlignment="1" applyProtection="1">
      <alignment horizontal="center"/>
    </xf>
    <xf numFmtId="0" fontId="72" fillId="0" borderId="27" xfId="0" applyFont="1" applyBorder="1" applyAlignment="1" applyProtection="1">
      <alignment horizontal="right"/>
      <protection hidden="1"/>
    </xf>
    <xf numFmtId="0" fontId="73" fillId="0" borderId="27" xfId="0" applyFont="1" applyBorder="1" applyAlignment="1" applyProtection="1">
      <alignment horizontal="right"/>
      <protection hidden="1"/>
    </xf>
    <xf numFmtId="0" fontId="74" fillId="0" borderId="3" xfId="0" applyFont="1" applyBorder="1" applyAlignment="1" applyProtection="1">
      <alignment horizontal="center" vertical="center" wrapText="1"/>
      <protection hidden="1"/>
    </xf>
    <xf numFmtId="0" fontId="74" fillId="0" borderId="4" xfId="0" applyFont="1" applyBorder="1" applyAlignment="1" applyProtection="1">
      <alignment horizontal="center" vertical="center"/>
      <protection hidden="1"/>
    </xf>
    <xf numFmtId="0" fontId="74" fillId="0" borderId="5" xfId="0" applyFont="1" applyBorder="1" applyAlignment="1" applyProtection="1">
      <alignment horizontal="center" vertical="center"/>
      <protection hidden="1"/>
    </xf>
    <xf numFmtId="0" fontId="75" fillId="0" borderId="0" xfId="0" applyFont="1" applyAlignment="1" applyProtection="1">
      <alignment wrapText="1"/>
      <protection hidden="1"/>
    </xf>
    <xf numFmtId="0" fontId="75" fillId="2" borderId="0" xfId="0" applyFont="1" applyFill="1" applyProtection="1">
      <protection hidden="1"/>
    </xf>
    <xf numFmtId="3" fontId="75" fillId="0" borderId="0" xfId="0" applyNumberFormat="1" applyFont="1" applyAlignment="1" applyProtection="1">
      <alignment wrapText="1"/>
      <protection hidden="1"/>
    </xf>
    <xf numFmtId="166" fontId="75" fillId="2" borderId="0" xfId="0" applyNumberFormat="1" applyFont="1" applyFill="1" applyProtection="1">
      <protection hidden="1"/>
    </xf>
  </cellXfs>
  <cellStyles count="12">
    <cellStyle name="Гиперссылка" xfId="10" builtinId="8"/>
    <cellStyle name="Обычный" xfId="0" builtinId="0"/>
    <cellStyle name="Обычный 2" xfId="2" xr:uid="{00000000-0005-0000-0000-000004000000}"/>
    <cellStyle name="Обычный 3" xfId="3" xr:uid="{00000000-0005-0000-0000-000005000000}"/>
    <cellStyle name="Обычный 4" xfId="4" xr:uid="{00000000-0005-0000-0000-000006000000}"/>
    <cellStyle name="Обычный_Бюджет" xfId="9" xr:uid="{00000000-0005-0000-0000-000007000000}"/>
    <cellStyle name="Пояснение" xfId="11" builtinId="53"/>
    <cellStyle name="Финансовый" xfId="1" builtinId="3"/>
    <cellStyle name="Финансовый 2" xfId="5" xr:uid="{00000000-0005-0000-0000-00000A000000}"/>
    <cellStyle name="Финансовый 3" xfId="8" xr:uid="{00000000-0005-0000-0000-00000B000000}"/>
    <cellStyle name="Head 1" xfId="6" xr:uid="{00000000-0005-0000-0000-000000000000}"/>
    <cellStyle name="Normal_Invoise_Spisok" xfId="7" xr:uid="{00000000-0005-0000-0000-000001000000}"/>
  </cellStyles>
  <dxfs count="0"/>
  <tableStyles count="0" defaultTableStyle="TableStyleMedium9" defaultPivotStyle="PivotStyleLight16"/>
  <colors>
    <mruColors>
      <color rgb="FFBEF8FE"/>
      <color rgb="FFBEDCFE"/>
      <color rgb="FFC9F999"/>
      <color rgb="FFFED2BE"/>
      <color rgb="FFFEBE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8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9"/>
  <sheetViews>
    <sheetView tabSelected="1" zoomScale="84" workbookViewId="0">
      <pane xSplit="3" ySplit="4" topLeftCell="D5" activePane="bottomRight" state="frozen"/>
      <selection activeCell="D72" sqref="D72"/>
      <selection pane="topRight" activeCell="D72" sqref="D72"/>
      <selection pane="bottomLeft" activeCell="D72" sqref="D72"/>
      <selection pane="bottomRight" activeCell="I19" sqref="I19"/>
    </sheetView>
  </sheetViews>
  <sheetFormatPr baseColWidth="10" defaultColWidth="9.1640625" defaultRowHeight="11"/>
  <cols>
    <col min="1" max="1" width="11.1640625" style="542" customWidth="1"/>
    <col min="2" max="2" width="61.5" style="645" customWidth="1"/>
    <col min="3" max="3" width="13.5" style="566" customWidth="1"/>
    <col min="4" max="13" width="12.83203125" style="542" customWidth="1"/>
    <col min="14" max="14" width="13.5" style="542" customWidth="1"/>
    <col min="15" max="15" width="14.1640625" style="542" customWidth="1"/>
    <col min="16" max="16" width="10.83203125" style="542" bestFit="1" customWidth="1"/>
    <col min="17" max="16384" width="9.1640625" style="542"/>
  </cols>
  <sheetData>
    <row r="1" spans="1:16" ht="19" customHeight="1" thickBot="1">
      <c r="A1" s="699" t="s">
        <v>744</v>
      </c>
      <c r="B1" s="700"/>
      <c r="C1" s="700"/>
      <c r="D1" s="700"/>
      <c r="E1" s="700"/>
      <c r="F1" s="700"/>
      <c r="G1" s="700"/>
      <c r="H1" s="700"/>
      <c r="I1" s="700"/>
      <c r="J1" s="700"/>
      <c r="K1" s="700"/>
      <c r="L1" s="700"/>
      <c r="M1" s="700"/>
      <c r="N1" s="700"/>
      <c r="O1" s="700"/>
    </row>
    <row r="2" spans="1:16" ht="33" customHeight="1" thickBot="1">
      <c r="A2" s="701" t="s">
        <v>717</v>
      </c>
      <c r="B2" s="702"/>
      <c r="C2" s="702"/>
      <c r="D2" s="702"/>
      <c r="E2" s="702"/>
      <c r="F2" s="702"/>
      <c r="G2" s="702"/>
      <c r="H2" s="702"/>
      <c r="I2" s="702"/>
      <c r="J2" s="702"/>
      <c r="K2" s="702"/>
      <c r="L2" s="702"/>
      <c r="M2" s="702"/>
      <c r="N2" s="702"/>
      <c r="O2" s="703"/>
    </row>
    <row r="3" spans="1:16" s="543" customFormat="1" ht="12.75" customHeight="1">
      <c r="A3" s="657" t="s">
        <v>0</v>
      </c>
      <c r="B3" s="655" t="s">
        <v>1</v>
      </c>
      <c r="C3" s="653">
        <v>2025</v>
      </c>
      <c r="D3" s="650" t="s">
        <v>2</v>
      </c>
      <c r="E3" s="651"/>
      <c r="F3" s="651"/>
      <c r="G3" s="651"/>
      <c r="H3" s="651"/>
      <c r="I3" s="651"/>
      <c r="J3" s="651"/>
      <c r="K3" s="651"/>
      <c r="L3" s="651"/>
      <c r="M3" s="651"/>
      <c r="N3" s="651"/>
      <c r="O3" s="652"/>
    </row>
    <row r="4" spans="1:16" s="543" customFormat="1" ht="14">
      <c r="A4" s="658"/>
      <c r="B4" s="656"/>
      <c r="C4" s="654"/>
      <c r="D4" s="544" t="s">
        <v>3</v>
      </c>
      <c r="E4" s="545" t="s">
        <v>4</v>
      </c>
      <c r="F4" s="545" t="s">
        <v>5</v>
      </c>
      <c r="G4" s="545" t="s">
        <v>6</v>
      </c>
      <c r="H4" s="545" t="s">
        <v>7</v>
      </c>
      <c r="I4" s="545" t="s">
        <v>8</v>
      </c>
      <c r="J4" s="545" t="s">
        <v>9</v>
      </c>
      <c r="K4" s="545" t="s">
        <v>10</v>
      </c>
      <c r="L4" s="545" t="s">
        <v>11</v>
      </c>
      <c r="M4" s="545" t="s">
        <v>12</v>
      </c>
      <c r="N4" s="545" t="s">
        <v>13</v>
      </c>
      <c r="O4" s="545" t="s">
        <v>14</v>
      </c>
    </row>
    <row r="5" spans="1:16" ht="13">
      <c r="A5" s="546"/>
      <c r="B5" s="547"/>
      <c r="C5" s="548"/>
      <c r="D5" s="549"/>
      <c r="E5" s="550"/>
      <c r="F5" s="550"/>
      <c r="G5" s="550"/>
      <c r="H5" s="550"/>
      <c r="I5" s="550"/>
      <c r="J5" s="550"/>
      <c r="K5" s="550"/>
      <c r="L5" s="550"/>
      <c r="M5" s="550"/>
      <c r="N5" s="550"/>
      <c r="O5" s="550"/>
    </row>
    <row r="6" spans="1:16" ht="14">
      <c r="A6" s="551">
        <v>1</v>
      </c>
      <c r="B6" s="552" t="s">
        <v>15</v>
      </c>
      <c r="C6" s="553"/>
      <c r="D6" s="554"/>
      <c r="E6" s="555"/>
      <c r="F6" s="556"/>
      <c r="G6" s="556"/>
      <c r="H6" s="556"/>
      <c r="I6" s="556"/>
      <c r="J6" s="556"/>
      <c r="K6" s="556"/>
      <c r="L6" s="556"/>
      <c r="M6" s="556"/>
      <c r="N6" s="556"/>
      <c r="O6" s="556"/>
    </row>
    <row r="7" spans="1:16" ht="16" thickBot="1">
      <c r="A7" s="557" t="s">
        <v>41</v>
      </c>
      <c r="B7" s="558" t="s">
        <v>718</v>
      </c>
      <c r="C7" s="559">
        <f>'1-000'!C12</f>
        <v>4000000</v>
      </c>
      <c r="D7" s="560"/>
      <c r="E7" s="561"/>
      <c r="F7" s="561"/>
      <c r="G7" s="561"/>
      <c r="H7" s="561"/>
      <c r="I7" s="561"/>
      <c r="J7" s="561"/>
      <c r="K7" s="561"/>
      <c r="L7" s="561"/>
      <c r="M7" s="561"/>
      <c r="N7" s="561"/>
      <c r="O7" s="561"/>
    </row>
    <row r="8" spans="1:16" ht="16" thickBot="1">
      <c r="A8" s="557" t="s">
        <v>24</v>
      </c>
      <c r="B8" s="558" t="s">
        <v>59</v>
      </c>
      <c r="C8" s="562">
        <v>12000000</v>
      </c>
      <c r="D8" s="560"/>
      <c r="E8" s="560"/>
      <c r="F8" s="560"/>
      <c r="G8" s="560"/>
      <c r="H8" s="560"/>
      <c r="I8" s="560"/>
      <c r="J8" s="560"/>
      <c r="K8" s="560"/>
      <c r="L8" s="560"/>
      <c r="M8" s="560"/>
      <c r="N8" s="560"/>
      <c r="O8" s="560"/>
      <c r="P8" s="563"/>
    </row>
    <row r="9" spans="1:16" ht="15">
      <c r="A9" s="557" t="s">
        <v>25</v>
      </c>
      <c r="B9" s="564" t="s">
        <v>43</v>
      </c>
      <c r="C9" s="565">
        <f>SUM(D9:O9)</f>
        <v>66600000</v>
      </c>
      <c r="D9" s="560">
        <f>'1-002'!L7</f>
        <v>5550000</v>
      </c>
      <c r="E9" s="560">
        <f>'1-002'!L7</f>
        <v>5550000</v>
      </c>
      <c r="F9" s="560">
        <f>'1-002'!L7</f>
        <v>5550000</v>
      </c>
      <c r="G9" s="560">
        <f>'1-002'!L7</f>
        <v>5550000</v>
      </c>
      <c r="H9" s="560">
        <f>'1-002'!L7</f>
        <v>5550000</v>
      </c>
      <c r="I9" s="560">
        <f>'1-002'!L7</f>
        <v>5550000</v>
      </c>
      <c r="J9" s="560">
        <f>'1-002'!L7</f>
        <v>5550000</v>
      </c>
      <c r="K9" s="560">
        <f>'1-002'!L7</f>
        <v>5550000</v>
      </c>
      <c r="L9" s="560">
        <f>'1-002'!L7</f>
        <v>5550000</v>
      </c>
      <c r="M9" s="560">
        <f>'1-002'!L7</f>
        <v>5550000</v>
      </c>
      <c r="N9" s="560">
        <f>'1-002'!L7</f>
        <v>5550000</v>
      </c>
      <c r="O9" s="560">
        <f>'1-002'!L7</f>
        <v>5550000</v>
      </c>
      <c r="P9" s="566"/>
    </row>
    <row r="10" spans="1:16" ht="15">
      <c r="A10" s="557" t="s">
        <v>201</v>
      </c>
      <c r="B10" s="564" t="s">
        <v>643</v>
      </c>
      <c r="C10" s="567">
        <f>SUM(D10:O10)</f>
        <v>3350000</v>
      </c>
      <c r="D10" s="560">
        <f>'1-0021'!A8</f>
        <v>210000</v>
      </c>
      <c r="E10" s="568">
        <f>'1-0021'!B8</f>
        <v>240000</v>
      </c>
      <c r="F10" s="568">
        <f>'1-0021'!C8</f>
        <v>200000</v>
      </c>
      <c r="G10" s="568">
        <f>'1-0021'!D8</f>
        <v>230000</v>
      </c>
      <c r="H10" s="568">
        <f>'1-0021'!E8</f>
        <v>350000</v>
      </c>
      <c r="I10" s="568">
        <f>'1-0021'!F8</f>
        <v>360000</v>
      </c>
      <c r="J10" s="568">
        <f>'1-0021'!G8</f>
        <v>400000</v>
      </c>
      <c r="K10" s="568">
        <f>'1-0021'!H8</f>
        <v>320000</v>
      </c>
      <c r="L10" s="568">
        <f>'1-0021'!I8</f>
        <v>300000</v>
      </c>
      <c r="M10" s="568">
        <f>'1-0021'!J8</f>
        <v>270000</v>
      </c>
      <c r="N10" s="568">
        <f>'1-0021'!K8</f>
        <v>250000</v>
      </c>
      <c r="O10" s="568">
        <f>'1-0021'!L8</f>
        <v>220000</v>
      </c>
      <c r="P10" s="566"/>
    </row>
    <row r="11" spans="1:16" ht="15">
      <c r="A11" s="557" t="s">
        <v>26</v>
      </c>
      <c r="B11" s="564" t="s">
        <v>16</v>
      </c>
      <c r="C11" s="569">
        <f>'1-003'!G9</f>
        <v>0.96</v>
      </c>
      <c r="D11" s="570">
        <f>'1-003'!G9</f>
        <v>0.96</v>
      </c>
      <c r="E11" s="571">
        <f>'1-003'!G9</f>
        <v>0.96</v>
      </c>
      <c r="F11" s="571">
        <f>'1-003'!G9</f>
        <v>0.96</v>
      </c>
      <c r="G11" s="571">
        <f>'1-003'!G9</f>
        <v>0.96</v>
      </c>
      <c r="H11" s="571">
        <f>'1-003'!G9</f>
        <v>0.96</v>
      </c>
      <c r="I11" s="571">
        <f>'1-003'!G9</f>
        <v>0.96</v>
      </c>
      <c r="J11" s="571">
        <f>'1-003'!G9</f>
        <v>0.96</v>
      </c>
      <c r="K11" s="571">
        <f>'1-003'!G9</f>
        <v>0.96</v>
      </c>
      <c r="L11" s="571">
        <f>'1-003'!G9</f>
        <v>0.96</v>
      </c>
      <c r="M11" s="571">
        <f>'1-003'!G9</f>
        <v>0.96</v>
      </c>
      <c r="N11" s="571">
        <f>'1-003'!G9</f>
        <v>0.96</v>
      </c>
      <c r="O11" s="571">
        <f>'1-003'!G9</f>
        <v>0.96</v>
      </c>
      <c r="P11" s="566"/>
    </row>
    <row r="12" spans="1:16" ht="29">
      <c r="A12" s="557" t="s">
        <v>27</v>
      </c>
      <c r="B12" s="564" t="s">
        <v>642</v>
      </c>
      <c r="C12" s="567">
        <f>SUM(D12:O12)</f>
        <v>67152000</v>
      </c>
      <c r="D12" s="560">
        <f>'1-004'!B10</f>
        <v>5529600</v>
      </c>
      <c r="E12" s="560">
        <f>'1-004'!C10</f>
        <v>5558400</v>
      </c>
      <c r="F12" s="560">
        <f>'1-004'!D10</f>
        <v>5520000</v>
      </c>
      <c r="G12" s="560">
        <f>'1-004'!E10</f>
        <v>5548800</v>
      </c>
      <c r="H12" s="560">
        <f>'1-004'!F10</f>
        <v>5664000</v>
      </c>
      <c r="I12" s="560">
        <f>'1-004'!G10</f>
        <v>5673600</v>
      </c>
      <c r="J12" s="560">
        <f>'1-004'!H10</f>
        <v>5712000</v>
      </c>
      <c r="K12" s="560">
        <f>'1-004'!I10</f>
        <v>5635200</v>
      </c>
      <c r="L12" s="560">
        <f>'1-004'!J10</f>
        <v>5616000</v>
      </c>
      <c r="M12" s="560">
        <f>'1-004'!K10</f>
        <v>5587200</v>
      </c>
      <c r="N12" s="560">
        <f>'1-004'!L10</f>
        <v>5568000</v>
      </c>
      <c r="O12" s="560">
        <f>'1-004'!M10</f>
        <v>5539200</v>
      </c>
      <c r="P12" s="566"/>
    </row>
    <row r="13" spans="1:16" s="566" customFormat="1" ht="15">
      <c r="A13" s="557" t="s">
        <v>28</v>
      </c>
      <c r="B13" s="564" t="s">
        <v>17</v>
      </c>
      <c r="C13" s="567">
        <f>SUM(D13:O13)</f>
        <v>1040000</v>
      </c>
      <c r="D13" s="572">
        <f>'1-005'!G13</f>
        <v>160000</v>
      </c>
      <c r="E13" s="572">
        <f>'1-005'!H13</f>
        <v>146666.66666666666</v>
      </c>
      <c r="F13" s="572">
        <f>'1-005'!I13</f>
        <v>133333.33333333334</v>
      </c>
      <c r="G13" s="572">
        <f>'1-005'!J13</f>
        <v>120000</v>
      </c>
      <c r="H13" s="572">
        <f>'1-005'!K13</f>
        <v>106666.66666666667</v>
      </c>
      <c r="I13" s="572">
        <f>'1-005'!L13</f>
        <v>93333.333333333328</v>
      </c>
      <c r="J13" s="572">
        <f>'1-005'!M13</f>
        <v>80000</v>
      </c>
      <c r="K13" s="572">
        <f>'1-005'!N13</f>
        <v>66666.666666666672</v>
      </c>
      <c r="L13" s="572">
        <f>'1-005'!O13</f>
        <v>53333.333333333336</v>
      </c>
      <c r="M13" s="572">
        <f>'1-005'!P13</f>
        <v>40000</v>
      </c>
      <c r="N13" s="572">
        <f>'1-005'!Q13</f>
        <v>26666.666666666668</v>
      </c>
      <c r="O13" s="572">
        <f>'1-005'!R13</f>
        <v>13333.333333333334</v>
      </c>
      <c r="P13" s="573"/>
    </row>
    <row r="14" spans="1:16" s="566" customFormat="1" ht="15">
      <c r="A14" s="557" t="s">
        <v>29</v>
      </c>
      <c r="B14" s="574" t="s">
        <v>47</v>
      </c>
      <c r="C14" s="567">
        <f>SUM(D14:O14)</f>
        <v>17042000</v>
      </c>
      <c r="D14" s="560">
        <f>'1-006'!B17</f>
        <v>1403500</v>
      </c>
      <c r="E14" s="568">
        <f>'1-006'!B17</f>
        <v>1403500</v>
      </c>
      <c r="F14" s="568">
        <f>'1-006'!B17</f>
        <v>1403500</v>
      </c>
      <c r="G14" s="568">
        <f>'1-006'!B17+'1-006'!C17/4</f>
        <v>1453500</v>
      </c>
      <c r="H14" s="568">
        <f>'1-006'!B17+'1-006'!C17/4</f>
        <v>1453500</v>
      </c>
      <c r="I14" s="568">
        <f>'1-006'!B17</f>
        <v>1403500</v>
      </c>
      <c r="J14" s="568">
        <f>'1-006'!B17</f>
        <v>1403500</v>
      </c>
      <c r="K14" s="568">
        <f>'1-006'!B17</f>
        <v>1403500</v>
      </c>
      <c r="L14" s="568">
        <f>'1-006'!B17</f>
        <v>1403500</v>
      </c>
      <c r="M14" s="568">
        <f>'1-006'!B17+'1-006'!C17/4</f>
        <v>1453500</v>
      </c>
      <c r="N14" s="568">
        <f>'1-006'!B17+'1-006'!C17/4</f>
        <v>1453500</v>
      </c>
      <c r="O14" s="568">
        <f>'1-006'!B17</f>
        <v>1403500</v>
      </c>
    </row>
    <row r="15" spans="1:16" ht="14">
      <c r="A15" s="575"/>
      <c r="B15" s="576" t="s">
        <v>54</v>
      </c>
      <c r="C15" s="577">
        <f t="shared" ref="C15:O15" si="0">SUM(C12:C14)</f>
        <v>85234000</v>
      </c>
      <c r="D15" s="578">
        <f t="shared" si="0"/>
        <v>7093100</v>
      </c>
      <c r="E15" s="578">
        <f t="shared" si="0"/>
        <v>7108566.666666667</v>
      </c>
      <c r="F15" s="578">
        <f t="shared" si="0"/>
        <v>7056833.333333333</v>
      </c>
      <c r="G15" s="578">
        <f t="shared" si="0"/>
        <v>7122300</v>
      </c>
      <c r="H15" s="578">
        <f t="shared" si="0"/>
        <v>7224166.666666667</v>
      </c>
      <c r="I15" s="578">
        <f t="shared" si="0"/>
        <v>7170433.333333333</v>
      </c>
      <c r="J15" s="578">
        <f t="shared" si="0"/>
        <v>7195500</v>
      </c>
      <c r="K15" s="578">
        <f t="shared" si="0"/>
        <v>7105366.666666667</v>
      </c>
      <c r="L15" s="578">
        <f t="shared" si="0"/>
        <v>7072833.333333333</v>
      </c>
      <c r="M15" s="578">
        <f t="shared" si="0"/>
        <v>7080700</v>
      </c>
      <c r="N15" s="578">
        <f t="shared" si="0"/>
        <v>7048166.666666667</v>
      </c>
      <c r="O15" s="578">
        <f t="shared" si="0"/>
        <v>6956033.333333333</v>
      </c>
    </row>
    <row r="16" spans="1:16" ht="14">
      <c r="A16" s="579"/>
      <c r="B16" s="580" t="s">
        <v>716</v>
      </c>
      <c r="C16" s="581">
        <f>SUM(C15+C7+C8)</f>
        <v>101234000</v>
      </c>
      <c r="D16" s="582"/>
      <c r="E16" s="568"/>
      <c r="F16" s="568"/>
      <c r="G16" s="568"/>
      <c r="H16" s="568"/>
      <c r="I16" s="568"/>
      <c r="J16" s="568"/>
      <c r="K16" s="568"/>
      <c r="L16" s="568"/>
      <c r="M16" s="568"/>
      <c r="N16" s="568"/>
      <c r="O16" s="568"/>
    </row>
    <row r="17" spans="1:16" ht="14">
      <c r="A17" s="579">
        <v>2</v>
      </c>
      <c r="B17" s="583" t="s">
        <v>19</v>
      </c>
      <c r="C17" s="567"/>
      <c r="D17" s="560"/>
      <c r="E17" s="568"/>
      <c r="F17" s="568"/>
      <c r="G17" s="584"/>
      <c r="H17" s="584"/>
      <c r="I17" s="584"/>
      <c r="J17" s="584"/>
      <c r="K17" s="584"/>
      <c r="L17" s="584"/>
      <c r="M17" s="584"/>
      <c r="N17" s="584"/>
      <c r="O17" s="584"/>
    </row>
    <row r="18" spans="1:16" s="589" customFormat="1" ht="18" thickBot="1">
      <c r="A18" s="585" t="s">
        <v>42</v>
      </c>
      <c r="B18" s="586" t="s">
        <v>52</v>
      </c>
      <c r="C18" s="587">
        <f>SUM(D18:O18)</f>
        <v>101225096.19999999</v>
      </c>
      <c r="D18" s="588">
        <f t="shared" ref="D18:O18" si="1">SUM(D19,D33,D37,D40,D48,D53,D58,D61,D62,D63,D68)</f>
        <v>11080951.789999999</v>
      </c>
      <c r="E18" s="588">
        <f t="shared" si="1"/>
        <v>8056011.79</v>
      </c>
      <c r="F18" s="588">
        <f t="shared" si="1"/>
        <v>8707211.7899999991</v>
      </c>
      <c r="G18" s="588">
        <f t="shared" si="1"/>
        <v>8187151.79</v>
      </c>
      <c r="H18" s="588">
        <f t="shared" si="1"/>
        <v>8165381.1300000008</v>
      </c>
      <c r="I18" s="588">
        <f t="shared" si="1"/>
        <v>8278341.1300000008</v>
      </c>
      <c r="J18" s="588">
        <f t="shared" si="1"/>
        <v>8224981.1300000008</v>
      </c>
      <c r="K18" s="588">
        <f t="shared" si="1"/>
        <v>7684281.1300000008</v>
      </c>
      <c r="L18" s="588">
        <f t="shared" si="1"/>
        <v>8427281.1300000008</v>
      </c>
      <c r="M18" s="588">
        <f t="shared" si="1"/>
        <v>8580581.1300000008</v>
      </c>
      <c r="N18" s="588">
        <f t="shared" si="1"/>
        <v>7920341.1300000008</v>
      </c>
      <c r="O18" s="588">
        <f t="shared" si="1"/>
        <v>7912581.1300000008</v>
      </c>
      <c r="P18" s="566"/>
    </row>
    <row r="19" spans="1:16" s="595" customFormat="1" ht="15" thickBot="1">
      <c r="A19" s="590"/>
      <c r="B19" s="591" t="str">
        <f>'2-001'!A3</f>
        <v xml:space="preserve"> Расходы на содержание УК</v>
      </c>
      <c r="C19" s="592">
        <f t="shared" ref="C19:C64" si="2">SUM(D19:O19)</f>
        <v>58033096.200000018</v>
      </c>
      <c r="D19" s="593">
        <f t="shared" ref="D19:O19" si="3">SUM(D20:D32)</f>
        <v>5214951.79</v>
      </c>
      <c r="E19" s="594">
        <f t="shared" si="3"/>
        <v>5031511.79</v>
      </c>
      <c r="F19" s="594">
        <f t="shared" si="3"/>
        <v>4910211.79</v>
      </c>
      <c r="G19" s="594">
        <f t="shared" si="3"/>
        <v>4842151.79</v>
      </c>
      <c r="H19" s="594">
        <f t="shared" si="3"/>
        <v>4726381.1300000008</v>
      </c>
      <c r="I19" s="594">
        <f t="shared" si="3"/>
        <v>4669341.1300000008</v>
      </c>
      <c r="J19" s="594">
        <f t="shared" si="3"/>
        <v>4814981.1300000008</v>
      </c>
      <c r="K19" s="594">
        <f t="shared" si="3"/>
        <v>4660281.1300000008</v>
      </c>
      <c r="L19" s="594">
        <f t="shared" si="3"/>
        <v>4678281.1300000008</v>
      </c>
      <c r="M19" s="594">
        <f t="shared" si="3"/>
        <v>4862081.1300000008</v>
      </c>
      <c r="N19" s="594">
        <f t="shared" si="3"/>
        <v>4700341.1300000008</v>
      </c>
      <c r="O19" s="594">
        <f t="shared" si="3"/>
        <v>4922581.1300000008</v>
      </c>
    </row>
    <row r="20" spans="1:16" ht="16" thickBot="1">
      <c r="A20" s="596" t="s">
        <v>141</v>
      </c>
      <c r="B20" s="597" t="s">
        <v>281</v>
      </c>
      <c r="C20" s="598">
        <f t="shared" si="2"/>
        <v>38426140</v>
      </c>
      <c r="D20" s="599">
        <f>'2-0011'!B7</f>
        <v>3515345</v>
      </c>
      <c r="E20" s="599">
        <f>'2-0011'!C7</f>
        <v>3295345</v>
      </c>
      <c r="F20" s="599">
        <f>'2-0011'!D7</f>
        <v>3145345</v>
      </c>
      <c r="G20" s="599">
        <f>'2-0011'!E7</f>
        <v>3115345</v>
      </c>
      <c r="H20" s="599">
        <f>'2-0011'!F7</f>
        <v>3205345</v>
      </c>
      <c r="I20" s="599">
        <f>'2-0011'!G7</f>
        <v>3189345</v>
      </c>
      <c r="J20" s="599">
        <f>'2-0011'!H7</f>
        <v>3159345</v>
      </c>
      <c r="K20" s="599">
        <f>'2-0011'!I7</f>
        <v>3159345</v>
      </c>
      <c r="L20" s="599">
        <f>'2-0011'!J7</f>
        <v>3115345</v>
      </c>
      <c r="M20" s="599">
        <f>'2-0011'!K7</f>
        <v>3115345</v>
      </c>
      <c r="N20" s="599">
        <f>'2-0011'!L7</f>
        <v>3145345</v>
      </c>
      <c r="O20" s="599">
        <f>'2-0011'!M7</f>
        <v>3265345</v>
      </c>
    </row>
    <row r="21" spans="1:16" ht="16" thickBot="1">
      <c r="A21" s="600" t="s">
        <v>676</v>
      </c>
      <c r="B21" s="601" t="s">
        <v>263</v>
      </c>
      <c r="C21" s="598">
        <f t="shared" si="2"/>
        <v>11536152.359999999</v>
      </c>
      <c r="D21" s="560">
        <f>'2-0011'!B60</f>
        <v>1060251.03</v>
      </c>
      <c r="E21" s="560">
        <f>'2-0011'!C60</f>
        <v>993811.02999999991</v>
      </c>
      <c r="F21" s="560">
        <f>'2-0011'!D60</f>
        <v>948511.03</v>
      </c>
      <c r="G21" s="560">
        <f>'2-0011'!E60</f>
        <v>939451.03</v>
      </c>
      <c r="H21" s="560">
        <f>'2-0011'!F60</f>
        <v>954551.03</v>
      </c>
      <c r="I21" s="560">
        <f>'2-0011'!G60</f>
        <v>948511.03</v>
      </c>
      <c r="J21" s="560">
        <f>'2-0011'!H60</f>
        <v>939451.03</v>
      </c>
      <c r="K21" s="560">
        <f>'2-0011'!I60</f>
        <v>939451.03</v>
      </c>
      <c r="L21" s="560">
        <f>'2-0011'!J60</f>
        <v>939451.03</v>
      </c>
      <c r="M21" s="560">
        <f>'2-0011'!K60</f>
        <v>939451.03</v>
      </c>
      <c r="N21" s="560">
        <f>'2-0011'!L60</f>
        <v>948511.03</v>
      </c>
      <c r="O21" s="560">
        <f>'2-0011'!M60</f>
        <v>984751.02999999991</v>
      </c>
    </row>
    <row r="22" spans="1:16" ht="16" thickBot="1">
      <c r="A22" s="596" t="s">
        <v>143</v>
      </c>
      <c r="B22" s="602" t="str">
        <f>'2-0013'!A8</f>
        <v>Консультационные и информационные услуги</v>
      </c>
      <c r="C22" s="598">
        <f t="shared" si="2"/>
        <v>242500</v>
      </c>
      <c r="D22" s="560">
        <f>'2-0013'!C8</f>
        <v>0</v>
      </c>
      <c r="E22" s="568">
        <f>'2-0013'!D8</f>
        <v>145000</v>
      </c>
      <c r="F22" s="568">
        <f>'2-0013'!E8</f>
        <v>0</v>
      </c>
      <c r="G22" s="568">
        <f>'2-0013'!F8</f>
        <v>0</v>
      </c>
      <c r="H22" s="568">
        <f>'2-0013'!G8</f>
        <v>0</v>
      </c>
      <c r="I22" s="568">
        <f>'2-0013'!H8</f>
        <v>0</v>
      </c>
      <c r="J22" s="568">
        <f>'2-0013'!I8</f>
        <v>13700</v>
      </c>
      <c r="K22" s="568">
        <f>'2-0013'!J8</f>
        <v>55000</v>
      </c>
      <c r="L22" s="568">
        <f>'2-0013'!K8</f>
        <v>0</v>
      </c>
      <c r="M22" s="568">
        <f>'2-0013'!L8</f>
        <v>7800</v>
      </c>
      <c r="N22" s="568">
        <f>'2-0013'!M8</f>
        <v>0</v>
      </c>
      <c r="O22" s="568">
        <f>'2-0013'!N8</f>
        <v>21000</v>
      </c>
    </row>
    <row r="23" spans="1:16" ht="17.25" customHeight="1" thickBot="1">
      <c r="A23" s="596" t="s">
        <v>144</v>
      </c>
      <c r="B23" s="603" t="str">
        <f>'2-0014'!A5</f>
        <v xml:space="preserve">Обслуживание компьютерного оборудования </v>
      </c>
      <c r="C23" s="604">
        <f t="shared" si="2"/>
        <v>672000</v>
      </c>
      <c r="D23" s="560">
        <f>'2-0014'!C5</f>
        <v>62000</v>
      </c>
      <c r="E23" s="568">
        <f>'2-0014'!D5</f>
        <v>50000</v>
      </c>
      <c r="F23" s="568">
        <f>'2-0014'!E5</f>
        <v>62000</v>
      </c>
      <c r="G23" s="568">
        <f>'2-0014'!F5</f>
        <v>50000</v>
      </c>
      <c r="H23" s="568">
        <f>'2-0014'!G5</f>
        <v>62000</v>
      </c>
      <c r="I23" s="568">
        <f>'2-0014'!H5</f>
        <v>50000</v>
      </c>
      <c r="J23" s="568">
        <f>'2-0014'!I5</f>
        <v>62000</v>
      </c>
      <c r="K23" s="568">
        <f>'2-0014'!J5</f>
        <v>50000</v>
      </c>
      <c r="L23" s="568">
        <f>'2-0014'!K5</f>
        <v>62000</v>
      </c>
      <c r="M23" s="568">
        <f>'2-0014'!L5</f>
        <v>50000</v>
      </c>
      <c r="N23" s="568">
        <f>'2-0014'!M5</f>
        <v>62000</v>
      </c>
      <c r="O23" s="568">
        <f>'2-0014'!N5</f>
        <v>50000</v>
      </c>
    </row>
    <row r="24" spans="1:16" s="566" customFormat="1" ht="16" thickBot="1">
      <c r="A24" s="596" t="s">
        <v>145</v>
      </c>
      <c r="B24" s="601" t="str">
        <f>'2-0015'!A5</f>
        <v>Хозяйственные расходы (канцтовары, хозтовары, ремонт помещений)</v>
      </c>
      <c r="C24" s="598">
        <f t="shared" si="2"/>
        <v>180000</v>
      </c>
      <c r="D24" s="560">
        <f>'2-0015'!C5</f>
        <v>15000</v>
      </c>
      <c r="E24" s="568">
        <f>'2-0015'!D5</f>
        <v>15000</v>
      </c>
      <c r="F24" s="568">
        <f>'2-0015'!E5</f>
        <v>15000</v>
      </c>
      <c r="G24" s="568">
        <f>'2-0015'!F5</f>
        <v>15000</v>
      </c>
      <c r="H24" s="568">
        <f>'2-0015'!G5</f>
        <v>15000</v>
      </c>
      <c r="I24" s="568">
        <f>'2-0015'!H5</f>
        <v>15000</v>
      </c>
      <c r="J24" s="568">
        <f>'2-0015'!I5</f>
        <v>15000</v>
      </c>
      <c r="K24" s="568">
        <f>'2-0015'!J5</f>
        <v>15000</v>
      </c>
      <c r="L24" s="568">
        <f>'2-0015'!K5</f>
        <v>15000</v>
      </c>
      <c r="M24" s="568">
        <f>'2-0015'!L5</f>
        <v>15000</v>
      </c>
      <c r="N24" s="568">
        <f>'2-0015'!M5</f>
        <v>15000</v>
      </c>
      <c r="O24" s="568">
        <f>'2-0015'!N5</f>
        <v>15000</v>
      </c>
    </row>
    <row r="25" spans="1:16" ht="16" thickBot="1">
      <c r="A25" s="596" t="s">
        <v>146</v>
      </c>
      <c r="B25" s="601" t="str">
        <f>'2-0016'!A9</f>
        <v xml:space="preserve">Аренда помещений </v>
      </c>
      <c r="C25" s="598">
        <f t="shared" si="2"/>
        <v>2676247.12</v>
      </c>
      <c r="D25" s="560">
        <f>'2-0016'!C9</f>
        <v>216924.38</v>
      </c>
      <c r="E25" s="560">
        <f>'2-0016'!D9</f>
        <v>216924.38</v>
      </c>
      <c r="F25" s="560">
        <f>'2-0016'!E9</f>
        <v>216924.38</v>
      </c>
      <c r="G25" s="560">
        <f>'2-0016'!F9</f>
        <v>216924.38</v>
      </c>
      <c r="H25" s="568">
        <f>'2-0016'!G9</f>
        <v>226068.7</v>
      </c>
      <c r="I25" s="568">
        <f>'2-0016'!H9</f>
        <v>226068.7</v>
      </c>
      <c r="J25" s="568">
        <f>'2-0016'!I9</f>
        <v>226068.7</v>
      </c>
      <c r="K25" s="568">
        <f>'2-0016'!J9</f>
        <v>226068.7</v>
      </c>
      <c r="L25" s="568">
        <f>'2-0016'!K9</f>
        <v>226068.7</v>
      </c>
      <c r="M25" s="568">
        <f>'2-0016'!L9</f>
        <v>226068.7</v>
      </c>
      <c r="N25" s="568">
        <f>'2-0016'!M9</f>
        <v>226068.7</v>
      </c>
      <c r="O25" s="568">
        <f>'2-0016'!N9</f>
        <v>226068.7</v>
      </c>
    </row>
    <row r="26" spans="1:16" ht="16" thickBot="1">
      <c r="A26" s="596" t="s">
        <v>147</v>
      </c>
      <c r="B26" s="601" t="str">
        <f>'2-0017'!A7</f>
        <v>Коммунальные расходы</v>
      </c>
      <c r="C26" s="598">
        <f t="shared" si="2"/>
        <v>1258772</v>
      </c>
      <c r="D26" s="560">
        <f>'2-0017'!C7</f>
        <v>155731</v>
      </c>
      <c r="E26" s="568">
        <f>'2-0017'!D7</f>
        <v>135731</v>
      </c>
      <c r="F26" s="568">
        <f>'2-0017'!E7</f>
        <v>135731</v>
      </c>
      <c r="G26" s="568">
        <f>'2-0017'!F7</f>
        <v>125731</v>
      </c>
      <c r="H26" s="568">
        <f>'2-0017'!G7</f>
        <v>95731</v>
      </c>
      <c r="I26" s="568">
        <f>'2-0017'!H7</f>
        <v>32731</v>
      </c>
      <c r="J26" s="568">
        <f>'2-0017'!I7</f>
        <v>31731</v>
      </c>
      <c r="K26" s="568">
        <f>'2-0017'!J7</f>
        <v>32731</v>
      </c>
      <c r="L26" s="568">
        <f>'2-0017'!K7</f>
        <v>95731</v>
      </c>
      <c r="M26" s="568">
        <f>'2-0017'!L7</f>
        <v>125731</v>
      </c>
      <c r="N26" s="568">
        <f>'2-0017'!M7</f>
        <v>135731</v>
      </c>
      <c r="O26" s="568">
        <f>'2-0017'!N7</f>
        <v>155731</v>
      </c>
    </row>
    <row r="27" spans="1:16" s="566" customFormat="1" ht="16" thickBot="1">
      <c r="A27" s="596" t="s">
        <v>148</v>
      </c>
      <c r="B27" s="601" t="str">
        <f>'2-0018'!A6</f>
        <v>Услуги связи, интернет и почтовые услуги</v>
      </c>
      <c r="C27" s="598">
        <f t="shared" si="2"/>
        <v>180000</v>
      </c>
      <c r="D27" s="560">
        <f>'2-0018'!C6</f>
        <v>15000</v>
      </c>
      <c r="E27" s="568">
        <f>'2-0018'!D6</f>
        <v>15000</v>
      </c>
      <c r="F27" s="568">
        <f>'2-0018'!E6</f>
        <v>15000</v>
      </c>
      <c r="G27" s="568">
        <f>'2-0018'!F6</f>
        <v>15000</v>
      </c>
      <c r="H27" s="568">
        <f>'2-0018'!G6</f>
        <v>15000</v>
      </c>
      <c r="I27" s="568">
        <f>'2-0018'!H6</f>
        <v>15000</v>
      </c>
      <c r="J27" s="568">
        <f>'2-0018'!I6</f>
        <v>15000</v>
      </c>
      <c r="K27" s="568">
        <f>'2-0018'!J6</f>
        <v>15000</v>
      </c>
      <c r="L27" s="568">
        <f>'2-0018'!K6</f>
        <v>15000</v>
      </c>
      <c r="M27" s="568">
        <f>'2-0018'!L6</f>
        <v>15000</v>
      </c>
      <c r="N27" s="568">
        <f>'2-0018'!M6</f>
        <v>15000</v>
      </c>
      <c r="O27" s="568">
        <f>'2-0018'!N6</f>
        <v>15000</v>
      </c>
    </row>
    <row r="28" spans="1:16" ht="16" thickBot="1">
      <c r="A28" s="596" t="s">
        <v>149</v>
      </c>
      <c r="B28" s="601" t="str">
        <f>'2-0019'!A7</f>
        <v>Услуги банков</v>
      </c>
      <c r="C28" s="598">
        <f t="shared" si="2"/>
        <v>840000</v>
      </c>
      <c r="D28" s="560">
        <f>'2-0019'!C7</f>
        <v>70000</v>
      </c>
      <c r="E28" s="568">
        <f>'2-0019'!D7</f>
        <v>70000</v>
      </c>
      <c r="F28" s="568">
        <f>'2-0019'!E7</f>
        <v>70000</v>
      </c>
      <c r="G28" s="568">
        <f>'2-0019'!F7</f>
        <v>70000</v>
      </c>
      <c r="H28" s="568">
        <f>'2-0019'!G7</f>
        <v>70000</v>
      </c>
      <c r="I28" s="568">
        <f>'2-0019'!H7</f>
        <v>70000</v>
      </c>
      <c r="J28" s="568">
        <f>'2-0019'!I7</f>
        <v>70000</v>
      </c>
      <c r="K28" s="568">
        <f>'2-0019'!J7</f>
        <v>70000</v>
      </c>
      <c r="L28" s="568">
        <f>'2-0019'!K7</f>
        <v>70000</v>
      </c>
      <c r="M28" s="568">
        <f>'2-0019'!L7</f>
        <v>70000</v>
      </c>
      <c r="N28" s="568">
        <f>'2-0019'!M7</f>
        <v>70000</v>
      </c>
      <c r="O28" s="568">
        <f>'2-0019'!N7</f>
        <v>70000</v>
      </c>
    </row>
    <row r="29" spans="1:16" ht="16" thickBot="1">
      <c r="A29" s="596" t="s">
        <v>151</v>
      </c>
      <c r="B29" s="602" t="str">
        <f>'2-0021'!A8</f>
        <v>Расходы на программное обеспечение</v>
      </c>
      <c r="C29" s="598">
        <f t="shared" si="2"/>
        <v>331000</v>
      </c>
      <c r="D29" s="560">
        <f>'2-0021'!C8</f>
        <v>40000</v>
      </c>
      <c r="E29" s="568">
        <f>'2-0021'!D8</f>
        <v>15000</v>
      </c>
      <c r="F29" s="568">
        <f>'2-0021'!E8</f>
        <v>37000</v>
      </c>
      <c r="G29" s="568">
        <f>'2-0021'!F8</f>
        <v>15000</v>
      </c>
      <c r="H29" s="568">
        <f>'2-0021'!G8</f>
        <v>15000</v>
      </c>
      <c r="I29" s="568">
        <f>'2-0021'!H8</f>
        <v>40000</v>
      </c>
      <c r="J29" s="568">
        <f>'2-0021'!I8</f>
        <v>15000</v>
      </c>
      <c r="K29" s="568">
        <f>'2-0021'!J8</f>
        <v>15000</v>
      </c>
      <c r="L29" s="568">
        <f>'2-0021'!K8</f>
        <v>72000</v>
      </c>
      <c r="M29" s="568">
        <f>'2-0021'!L8</f>
        <v>15000</v>
      </c>
      <c r="N29" s="568">
        <f>'2-0021'!M8</f>
        <v>15000</v>
      </c>
      <c r="O29" s="568">
        <f>'2-0021'!N8</f>
        <v>37000</v>
      </c>
    </row>
    <row r="30" spans="1:16" ht="16" thickBot="1">
      <c r="A30" s="596" t="s">
        <v>152</v>
      </c>
      <c r="B30" s="602" t="str">
        <f>'2-0022'!A7</f>
        <v xml:space="preserve">Юридические услуги </v>
      </c>
      <c r="C30" s="598">
        <f t="shared" si="2"/>
        <v>150000</v>
      </c>
      <c r="D30" s="560">
        <f>'2-0022'!C7</f>
        <v>5000</v>
      </c>
      <c r="E30" s="568">
        <f>'2-0022'!D7</f>
        <v>20000</v>
      </c>
      <c r="F30" s="568">
        <f>'2-0022'!E7</f>
        <v>5000</v>
      </c>
      <c r="G30" s="568">
        <f>'2-0022'!F7</f>
        <v>20000</v>
      </c>
      <c r="H30" s="568">
        <f>'2-0022'!G7</f>
        <v>5000</v>
      </c>
      <c r="I30" s="568">
        <f>'2-0022'!H7</f>
        <v>20000</v>
      </c>
      <c r="J30" s="568">
        <f>'2-0022'!I7</f>
        <v>5000</v>
      </c>
      <c r="K30" s="568">
        <f>'2-0022'!J7</f>
        <v>20000</v>
      </c>
      <c r="L30" s="568">
        <f>'2-0022'!K7</f>
        <v>5000</v>
      </c>
      <c r="M30" s="568">
        <f>'2-0022'!L7</f>
        <v>20000</v>
      </c>
      <c r="N30" s="568">
        <f>'2-0022'!M7</f>
        <v>5000</v>
      </c>
      <c r="O30" s="568">
        <f>'2-0022'!N7</f>
        <v>20000</v>
      </c>
    </row>
    <row r="31" spans="1:16" ht="16" thickBot="1">
      <c r="A31" s="596" t="s">
        <v>154</v>
      </c>
      <c r="B31" s="601" t="str">
        <f>'2-0024'!A6</f>
        <v>Налог УСН</v>
      </c>
      <c r="C31" s="598">
        <f t="shared" si="2"/>
        <v>800000</v>
      </c>
      <c r="D31" s="560">
        <f>'2-0024'!C6</f>
        <v>0</v>
      </c>
      <c r="E31" s="568">
        <f>'2-0024'!D6</f>
        <v>0</v>
      </c>
      <c r="F31" s="568">
        <f>'2-0024'!E6</f>
        <v>200000</v>
      </c>
      <c r="G31" s="568">
        <f>'2-0024'!F6</f>
        <v>200000</v>
      </c>
      <c r="H31" s="568">
        <f>'2-0024'!G6</f>
        <v>0</v>
      </c>
      <c r="I31" s="568">
        <f>'2-0024'!H6</f>
        <v>0</v>
      </c>
      <c r="J31" s="568">
        <f>'2-0024'!I6</f>
        <v>200000</v>
      </c>
      <c r="K31" s="568">
        <f>'2-0024'!J6</f>
        <v>0</v>
      </c>
      <c r="L31" s="568">
        <f>'2-0024'!K6</f>
        <v>0</v>
      </c>
      <c r="M31" s="568">
        <f>'2-0024'!L6</f>
        <v>200000</v>
      </c>
      <c r="N31" s="568">
        <f>'2-0024'!M6</f>
        <v>0</v>
      </c>
      <c r="O31" s="568">
        <f>'2-0024'!N6</f>
        <v>0</v>
      </c>
    </row>
    <row r="32" spans="1:16" ht="16" thickBot="1">
      <c r="A32" s="596" t="s">
        <v>155</v>
      </c>
      <c r="B32" s="605" t="str">
        <f>'2-0025'!A6</f>
        <v xml:space="preserve">Аренда земельного участка </v>
      </c>
      <c r="C32" s="598">
        <f t="shared" si="2"/>
        <v>740284.72000000009</v>
      </c>
      <c r="D32" s="606">
        <f>'2-0025'!C6</f>
        <v>59700.38</v>
      </c>
      <c r="E32" s="607">
        <f>'2-0025'!D6</f>
        <v>59700.38</v>
      </c>
      <c r="F32" s="607">
        <f>'2-0025'!E6</f>
        <v>59700.38</v>
      </c>
      <c r="G32" s="607">
        <f>'2-0025'!F6</f>
        <v>59700.38</v>
      </c>
      <c r="H32" s="607">
        <f>'2-0025'!G6</f>
        <v>62685.4</v>
      </c>
      <c r="I32" s="607">
        <f>'2-0025'!H6</f>
        <v>62685.4</v>
      </c>
      <c r="J32" s="607">
        <f>'2-0025'!I6</f>
        <v>62685.4</v>
      </c>
      <c r="K32" s="607">
        <f>'2-0025'!J6</f>
        <v>62685.4</v>
      </c>
      <c r="L32" s="607">
        <f>'2-0025'!K6</f>
        <v>62685.4</v>
      </c>
      <c r="M32" s="607">
        <f>'2-0025'!L6</f>
        <v>62685.4</v>
      </c>
      <c r="N32" s="607">
        <f>'2-0025'!M6</f>
        <v>62685.4</v>
      </c>
      <c r="O32" s="607">
        <f>'2-0025'!N6</f>
        <v>62685.4</v>
      </c>
    </row>
    <row r="33" spans="1:16" s="609" customFormat="1" ht="15" thickBot="1">
      <c r="A33" s="608"/>
      <c r="B33" s="591" t="str">
        <f>'2-001'!A20</f>
        <v>Транспорт</v>
      </c>
      <c r="C33" s="592">
        <f t="shared" si="2"/>
        <v>2676500</v>
      </c>
      <c r="D33" s="593">
        <f t="shared" ref="D33:O33" si="4">SUM(D34:D36)</f>
        <v>296000</v>
      </c>
      <c r="E33" s="594">
        <f t="shared" si="4"/>
        <v>287500</v>
      </c>
      <c r="F33" s="594">
        <f t="shared" si="4"/>
        <v>285000</v>
      </c>
      <c r="G33" s="594">
        <f t="shared" si="4"/>
        <v>316000</v>
      </c>
      <c r="H33" s="594">
        <f t="shared" si="4"/>
        <v>180000</v>
      </c>
      <c r="I33" s="594">
        <f t="shared" si="4"/>
        <v>100000</v>
      </c>
      <c r="J33" s="594">
        <f t="shared" si="4"/>
        <v>226000</v>
      </c>
      <c r="K33" s="594">
        <f t="shared" si="4"/>
        <v>100000</v>
      </c>
      <c r="L33" s="594">
        <f t="shared" si="4"/>
        <v>180000</v>
      </c>
      <c r="M33" s="594">
        <f t="shared" si="4"/>
        <v>326000</v>
      </c>
      <c r="N33" s="594">
        <f t="shared" si="4"/>
        <v>100000</v>
      </c>
      <c r="O33" s="594">
        <f t="shared" si="4"/>
        <v>280000</v>
      </c>
    </row>
    <row r="34" spans="1:16" ht="16" thickBot="1">
      <c r="A34" s="596" t="s">
        <v>157</v>
      </c>
      <c r="B34" s="610" t="str">
        <f>'2-0027'!A4</f>
        <v>ГСМ для ТС</v>
      </c>
      <c r="C34" s="598">
        <f t="shared" si="2"/>
        <v>1770000</v>
      </c>
      <c r="D34" s="599">
        <f>'2-0027'!C4</f>
        <v>240000</v>
      </c>
      <c r="E34" s="611">
        <f>'2-0027'!D4</f>
        <v>240000</v>
      </c>
      <c r="F34" s="611">
        <f>'2-0027'!E4</f>
        <v>240000</v>
      </c>
      <c r="G34" s="611">
        <f>'2-0027'!F4</f>
        <v>170000</v>
      </c>
      <c r="H34" s="611">
        <f>'2-0027'!G4</f>
        <v>60000</v>
      </c>
      <c r="I34" s="611">
        <f>'2-0027'!H4</f>
        <v>60000</v>
      </c>
      <c r="J34" s="611">
        <f>'2-0027'!I4</f>
        <v>170000</v>
      </c>
      <c r="K34" s="611">
        <f>'2-0027'!J4</f>
        <v>60000</v>
      </c>
      <c r="L34" s="611">
        <f>'2-0027'!K4</f>
        <v>60000</v>
      </c>
      <c r="M34" s="611">
        <f>'2-0027'!L4</f>
        <v>170000</v>
      </c>
      <c r="N34" s="611">
        <f>'2-0027'!M4</f>
        <v>60000</v>
      </c>
      <c r="O34" s="611">
        <f>'2-0027'!N4</f>
        <v>240000</v>
      </c>
    </row>
    <row r="35" spans="1:16" ht="16" thickBot="1">
      <c r="A35" s="596" t="s">
        <v>160</v>
      </c>
      <c r="B35" s="601" t="str">
        <f>'2-0030'!A3</f>
        <v>Страхование ТС, транспортный налог</v>
      </c>
      <c r="C35" s="598">
        <f t="shared" si="2"/>
        <v>106500</v>
      </c>
      <c r="D35" s="560">
        <f>'2-0030'!C3</f>
        <v>16000</v>
      </c>
      <c r="E35" s="568">
        <f>'2-0030'!D3</f>
        <v>7500</v>
      </c>
      <c r="F35" s="568">
        <f>'2-0030'!E3</f>
        <v>5000</v>
      </c>
      <c r="G35" s="568">
        <f>'2-0030'!F3</f>
        <v>26000</v>
      </c>
      <c r="H35" s="568">
        <f>'2-0030'!G3</f>
        <v>0</v>
      </c>
      <c r="I35" s="568">
        <f>'2-0030'!H3</f>
        <v>0</v>
      </c>
      <c r="J35" s="568">
        <f>'2-0030'!I3</f>
        <v>16000</v>
      </c>
      <c r="K35" s="568">
        <f>'2-0030'!J3</f>
        <v>0</v>
      </c>
      <c r="L35" s="568">
        <f>'2-0030'!K3</f>
        <v>0</v>
      </c>
      <c r="M35" s="568">
        <f>'2-0030'!L3</f>
        <v>36000</v>
      </c>
      <c r="N35" s="568">
        <f>'2-0030'!M3</f>
        <v>0</v>
      </c>
      <c r="O35" s="568">
        <f>'2-0030'!N3</f>
        <v>0</v>
      </c>
    </row>
    <row r="36" spans="1:16" ht="16" thickBot="1">
      <c r="A36" s="596" t="s">
        <v>161</v>
      </c>
      <c r="B36" s="602" t="str">
        <f>'2-0031'!A3</f>
        <v>Техническое обслуживание ТС и мототехники ( ремонты, запчасти )</v>
      </c>
      <c r="C36" s="598">
        <f t="shared" si="2"/>
        <v>800000</v>
      </c>
      <c r="D36" s="560">
        <f>'2-0031'!C3</f>
        <v>40000</v>
      </c>
      <c r="E36" s="568">
        <f>'2-0031'!D3</f>
        <v>40000</v>
      </c>
      <c r="F36" s="568">
        <f>'2-0031'!E3</f>
        <v>40000</v>
      </c>
      <c r="G36" s="568">
        <f>'2-0031'!F3</f>
        <v>120000</v>
      </c>
      <c r="H36" s="568">
        <f>'2-0031'!G3</f>
        <v>120000</v>
      </c>
      <c r="I36" s="568">
        <f>'2-0031'!H3</f>
        <v>40000</v>
      </c>
      <c r="J36" s="568">
        <f>'2-0031'!I3</f>
        <v>40000</v>
      </c>
      <c r="K36" s="568">
        <f>'2-0031'!J3</f>
        <v>40000</v>
      </c>
      <c r="L36" s="568">
        <f>'2-0031'!K3</f>
        <v>120000</v>
      </c>
      <c r="M36" s="568">
        <f>'2-0031'!L3</f>
        <v>120000</v>
      </c>
      <c r="N36" s="568">
        <f>'2-0031'!M3</f>
        <v>40000</v>
      </c>
      <c r="O36" s="568">
        <f>'2-0031'!N3</f>
        <v>40000</v>
      </c>
    </row>
    <row r="37" spans="1:16" s="609" customFormat="1" ht="15" thickBot="1">
      <c r="A37" s="612"/>
      <c r="B37" s="591" t="str">
        <f>'2-001'!A27</f>
        <v>Обслуживание дорог</v>
      </c>
      <c r="C37" s="592">
        <f t="shared" si="2"/>
        <v>130000</v>
      </c>
      <c r="D37" s="593">
        <f t="shared" ref="D37:O37" si="5">SUM(D38:D39)</f>
        <v>40000</v>
      </c>
      <c r="E37" s="594">
        <f t="shared" si="5"/>
        <v>0</v>
      </c>
      <c r="F37" s="594">
        <f t="shared" si="5"/>
        <v>0</v>
      </c>
      <c r="G37" s="594">
        <f t="shared" si="5"/>
        <v>0</v>
      </c>
      <c r="H37" s="594">
        <f t="shared" si="5"/>
        <v>50000</v>
      </c>
      <c r="I37" s="594">
        <f t="shared" si="5"/>
        <v>0</v>
      </c>
      <c r="J37" s="594">
        <f t="shared" si="5"/>
        <v>0</v>
      </c>
      <c r="K37" s="594">
        <f t="shared" si="5"/>
        <v>0</v>
      </c>
      <c r="L37" s="594">
        <f t="shared" si="5"/>
        <v>0</v>
      </c>
      <c r="M37" s="594">
        <f t="shared" si="5"/>
        <v>0</v>
      </c>
      <c r="N37" s="594">
        <f t="shared" si="5"/>
        <v>40000</v>
      </c>
      <c r="O37" s="594">
        <f t="shared" si="5"/>
        <v>0</v>
      </c>
    </row>
    <row r="38" spans="1:16" ht="16" thickBot="1">
      <c r="A38" s="613" t="s">
        <v>163</v>
      </c>
      <c r="B38" s="597" t="str">
        <f>'2-0033'!A3</f>
        <v>Ремонт дорожных покрытий</v>
      </c>
      <c r="C38" s="598">
        <f t="shared" si="2"/>
        <v>50000</v>
      </c>
      <c r="D38" s="599">
        <f>'2-0033'!C3</f>
        <v>0</v>
      </c>
      <c r="E38" s="611">
        <f>'2-0033'!D3</f>
        <v>0</v>
      </c>
      <c r="F38" s="611">
        <f>'2-0033'!E3</f>
        <v>0</v>
      </c>
      <c r="G38" s="611">
        <f>'2-0033'!F3</f>
        <v>0</v>
      </c>
      <c r="H38" s="611">
        <f>'2-0033'!G3</f>
        <v>50000</v>
      </c>
      <c r="I38" s="611">
        <f>'2-0033'!H3</f>
        <v>0</v>
      </c>
      <c r="J38" s="611">
        <f>'2-0033'!I3</f>
        <v>0</v>
      </c>
      <c r="K38" s="611">
        <f>'2-0033'!J3</f>
        <v>0</v>
      </c>
      <c r="L38" s="611">
        <f>'2-0033'!K3</f>
        <v>0</v>
      </c>
      <c r="M38" s="611">
        <f>'2-0033'!L3</f>
        <v>0</v>
      </c>
      <c r="N38" s="611">
        <f>'2-0033'!M3</f>
        <v>0</v>
      </c>
      <c r="O38" s="611">
        <f>'2-0033'!N3</f>
        <v>0</v>
      </c>
    </row>
    <row r="39" spans="1:16" ht="16" thickBot="1">
      <c r="A39" s="613" t="s">
        <v>165</v>
      </c>
      <c r="B39" s="614" t="str">
        <f>'2-0035'!A3</f>
        <v>Песок, гранитная крошка, реагенты</v>
      </c>
      <c r="C39" s="598">
        <f t="shared" si="2"/>
        <v>80000</v>
      </c>
      <c r="D39" s="607">
        <v>40000</v>
      </c>
      <c r="E39" s="607">
        <f>'2-0035'!D3</f>
        <v>0</v>
      </c>
      <c r="F39" s="607">
        <f>'2-0035'!E3</f>
        <v>0</v>
      </c>
      <c r="G39" s="607">
        <f>'2-0035'!F3</f>
        <v>0</v>
      </c>
      <c r="H39" s="607">
        <f>'2-0035'!G3</f>
        <v>0</v>
      </c>
      <c r="I39" s="607">
        <f>'2-0035'!H3</f>
        <v>0</v>
      </c>
      <c r="J39" s="607">
        <f>'2-0035'!I3</f>
        <v>0</v>
      </c>
      <c r="K39" s="607">
        <f>'2-0035'!J3</f>
        <v>0</v>
      </c>
      <c r="L39" s="607">
        <f>'2-0035'!K3</f>
        <v>0</v>
      </c>
      <c r="M39" s="607">
        <f>'2-0035'!L3</f>
        <v>0</v>
      </c>
      <c r="N39" s="607">
        <v>40000</v>
      </c>
      <c r="O39" s="607"/>
    </row>
    <row r="40" spans="1:16" s="609" customFormat="1" ht="15" thickBot="1">
      <c r="A40" s="612"/>
      <c r="B40" s="591" t="str">
        <f>'2-001'!A31</f>
        <v>Благоустройство/озеленение</v>
      </c>
      <c r="C40" s="592">
        <f t="shared" si="2"/>
        <v>10984000</v>
      </c>
      <c r="D40" s="593">
        <f>SUM(D41:D47)</f>
        <v>2590000</v>
      </c>
      <c r="E40" s="593">
        <f t="shared" ref="E40:O40" si="6">SUM(E41:E47)</f>
        <v>555000</v>
      </c>
      <c r="F40" s="593">
        <f t="shared" si="6"/>
        <v>505000</v>
      </c>
      <c r="G40" s="593">
        <f t="shared" si="6"/>
        <v>849000</v>
      </c>
      <c r="H40" s="593">
        <f t="shared" si="6"/>
        <v>884000</v>
      </c>
      <c r="I40" s="593">
        <f t="shared" si="6"/>
        <v>849000</v>
      </c>
      <c r="J40" s="593">
        <f t="shared" si="6"/>
        <v>884000</v>
      </c>
      <c r="K40" s="593">
        <f t="shared" si="6"/>
        <v>849000</v>
      </c>
      <c r="L40" s="593">
        <f t="shared" si="6"/>
        <v>779000</v>
      </c>
      <c r="M40" s="593">
        <f t="shared" si="6"/>
        <v>825000</v>
      </c>
      <c r="N40" s="593">
        <f t="shared" si="6"/>
        <v>860000</v>
      </c>
      <c r="O40" s="593">
        <f t="shared" si="6"/>
        <v>555000</v>
      </c>
    </row>
    <row r="41" spans="1:16" ht="27.75" customHeight="1" thickBot="1">
      <c r="A41" s="613" t="s">
        <v>166</v>
      </c>
      <c r="B41" s="597" t="str">
        <f>'2-0036'!A3</f>
        <v>Устройство, ремонт детских, спортивных площадок.</v>
      </c>
      <c r="C41" s="598">
        <f t="shared" si="2"/>
        <v>0</v>
      </c>
      <c r="D41" s="599">
        <f>'2-0036'!C3</f>
        <v>0</v>
      </c>
      <c r="E41" s="611">
        <f>'2-0036'!D3</f>
        <v>0</v>
      </c>
      <c r="F41" s="611">
        <f>'2-0036'!E3</f>
        <v>0</v>
      </c>
      <c r="G41" s="611">
        <f>'2-0036'!F3</f>
        <v>0</v>
      </c>
      <c r="H41" s="611">
        <f>'2-0036'!G3</f>
        <v>0</v>
      </c>
      <c r="I41" s="611">
        <f>'2-0036'!H3</f>
        <v>0</v>
      </c>
      <c r="J41" s="611">
        <f>'2-0036'!I3</f>
        <v>0</v>
      </c>
      <c r="K41" s="611">
        <f>'2-0036'!J3</f>
        <v>0</v>
      </c>
      <c r="L41" s="611">
        <f>'2-0036'!K3</f>
        <v>0</v>
      </c>
      <c r="M41" s="611">
        <f>'2-0036'!L3</f>
        <v>0</v>
      </c>
      <c r="N41" s="611">
        <f>'2-0036'!M3</f>
        <v>0</v>
      </c>
      <c r="O41" s="611">
        <f>'2-0036'!N3</f>
        <v>0</v>
      </c>
    </row>
    <row r="42" spans="1:16" ht="16" thickBot="1">
      <c r="A42" s="615" t="s">
        <v>167</v>
      </c>
      <c r="B42" s="602" t="str">
        <f>'2-0037'!A3</f>
        <v>Восстановление цветников, газонов (в т.ч. обслуживание) озеленение.</v>
      </c>
      <c r="C42" s="598">
        <f t="shared" si="2"/>
        <v>560000</v>
      </c>
      <c r="D42" s="560">
        <f>'2-0037'!C3</f>
        <v>0</v>
      </c>
      <c r="E42" s="568">
        <f>'2-0037'!D3</f>
        <v>0</v>
      </c>
      <c r="F42" s="568">
        <f>'2-0037'!E3</f>
        <v>0</v>
      </c>
      <c r="G42" s="568">
        <f>'2-0037'!F3</f>
        <v>70000</v>
      </c>
      <c r="H42" s="568">
        <f>'2-0037'!G3</f>
        <v>70000</v>
      </c>
      <c r="I42" s="568">
        <f>'2-0037'!H3</f>
        <v>70000</v>
      </c>
      <c r="J42" s="568">
        <f>'2-0037'!I3</f>
        <v>70000</v>
      </c>
      <c r="K42" s="568">
        <f>'2-0037'!J3</f>
        <v>70000</v>
      </c>
      <c r="L42" s="568">
        <f>'2-0037'!K3</f>
        <v>70000</v>
      </c>
      <c r="M42" s="568">
        <f>'2-0037'!L3</f>
        <v>70000</v>
      </c>
      <c r="N42" s="568">
        <f>'2-0037'!M3</f>
        <v>70000</v>
      </c>
      <c r="O42" s="568">
        <f>'2-0037'!N3</f>
        <v>0</v>
      </c>
      <c r="P42" s="566"/>
    </row>
    <row r="43" spans="1:16" ht="16" thickBot="1">
      <c r="A43" s="613" t="s">
        <v>169</v>
      </c>
      <c r="B43" s="602" t="str">
        <f>'2-0039'!A3</f>
        <v xml:space="preserve">Прочие расходы по благоустройству </v>
      </c>
      <c r="C43" s="598">
        <f t="shared" si="2"/>
        <v>210000</v>
      </c>
      <c r="D43" s="560">
        <f>'2-0039'!C3</f>
        <v>35000</v>
      </c>
      <c r="E43" s="568">
        <f>'2-0039'!D3</f>
        <v>0</v>
      </c>
      <c r="F43" s="568">
        <f>'2-0039'!E3</f>
        <v>35000</v>
      </c>
      <c r="G43" s="568">
        <f>'2-0039'!F3</f>
        <v>0</v>
      </c>
      <c r="H43" s="568">
        <f>'2-0039'!G3</f>
        <v>35000</v>
      </c>
      <c r="I43" s="568">
        <f>'2-0039'!H3</f>
        <v>0</v>
      </c>
      <c r="J43" s="568">
        <f>'2-0039'!I3</f>
        <v>35000</v>
      </c>
      <c r="K43" s="568">
        <f>'2-0039'!J3</f>
        <v>0</v>
      </c>
      <c r="L43" s="568">
        <f>'2-0039'!K3</f>
        <v>35000</v>
      </c>
      <c r="M43" s="568">
        <f>'2-0039'!L3</f>
        <v>0</v>
      </c>
      <c r="N43" s="568">
        <f>'2-0039'!M3</f>
        <v>35000</v>
      </c>
      <c r="O43" s="568">
        <f>'2-0039'!N3</f>
        <v>0</v>
      </c>
      <c r="P43" s="566"/>
    </row>
    <row r="44" spans="1:16" ht="16" thickBot="1">
      <c r="A44" s="613" t="s">
        <v>172</v>
      </c>
      <c r="B44" s="601" t="str">
        <f>'2-0042'!A3</f>
        <v>Вывоз мусора (фиксированная часть)</v>
      </c>
      <c r="C44" s="598">
        <f t="shared" si="2"/>
        <v>3840000</v>
      </c>
      <c r="D44" s="560">
        <f>'2-0042'!C3</f>
        <v>320000</v>
      </c>
      <c r="E44" s="568">
        <f>'2-0042'!D3</f>
        <v>320000</v>
      </c>
      <c r="F44" s="568">
        <f>'2-0042'!E3</f>
        <v>320000</v>
      </c>
      <c r="G44" s="568">
        <f>'2-0042'!F3</f>
        <v>320000</v>
      </c>
      <c r="H44" s="568">
        <f>'2-0042'!G3</f>
        <v>320000</v>
      </c>
      <c r="I44" s="568">
        <f>'2-0042'!H3</f>
        <v>320000</v>
      </c>
      <c r="J44" s="568">
        <f>'2-0042'!I3</f>
        <v>320000</v>
      </c>
      <c r="K44" s="568">
        <f>'2-0042'!J3</f>
        <v>320000</v>
      </c>
      <c r="L44" s="568">
        <f>'2-0042'!K3</f>
        <v>320000</v>
      </c>
      <c r="M44" s="568">
        <f>'2-0042'!L3</f>
        <v>320000</v>
      </c>
      <c r="N44" s="568">
        <f>'2-0042'!M3</f>
        <v>320000</v>
      </c>
      <c r="O44" s="568">
        <f>'2-0042'!N3</f>
        <v>320000</v>
      </c>
      <c r="P44" s="566"/>
    </row>
    <row r="45" spans="1:16" ht="16" thickBot="1">
      <c r="A45" s="613" t="s">
        <v>173</v>
      </c>
      <c r="B45" s="602" t="str">
        <f>'2-0043'!A3</f>
        <v>Вывоз мусора (переменная часть)</v>
      </c>
      <c r="C45" s="598">
        <f t="shared" si="2"/>
        <v>2964000</v>
      </c>
      <c r="D45" s="560">
        <f>'2-0043'!C3</f>
        <v>100000</v>
      </c>
      <c r="E45" s="568">
        <f>'2-0043'!D3</f>
        <v>100000</v>
      </c>
      <c r="F45" s="568">
        <f>'2-0043'!E3</f>
        <v>120000</v>
      </c>
      <c r="G45" s="568">
        <f>'2-0043'!F3</f>
        <v>324000</v>
      </c>
      <c r="H45" s="568">
        <f>'2-0043'!G3</f>
        <v>324000</v>
      </c>
      <c r="I45" s="568">
        <f>'2-0043'!H3</f>
        <v>324000</v>
      </c>
      <c r="J45" s="568">
        <f>'2-0043'!I3</f>
        <v>324000</v>
      </c>
      <c r="K45" s="568">
        <f>'2-0043'!J3</f>
        <v>324000</v>
      </c>
      <c r="L45" s="568">
        <f>'2-0043'!K3</f>
        <v>324000</v>
      </c>
      <c r="M45" s="568">
        <f>'2-0043'!L3</f>
        <v>300000</v>
      </c>
      <c r="N45" s="568">
        <f>'2-0043'!M3</f>
        <v>300000</v>
      </c>
      <c r="O45" s="568">
        <f>'2-0043'!N3</f>
        <v>100000</v>
      </c>
      <c r="P45" s="566"/>
    </row>
    <row r="46" spans="1:16" ht="16" thickBot="1">
      <c r="A46" s="613" t="s">
        <v>174</v>
      </c>
      <c r="B46" s="601" t="str">
        <f>'2-0044'!A3</f>
        <v>Покупка мусорных мешков</v>
      </c>
      <c r="C46" s="598">
        <f t="shared" si="2"/>
        <v>1050000</v>
      </c>
      <c r="D46" s="560">
        <f>'2-0044'!C3</f>
        <v>105000</v>
      </c>
      <c r="E46" s="568">
        <f>'2-0044'!D3</f>
        <v>105000</v>
      </c>
      <c r="F46" s="568">
        <f>'2-0044'!E3</f>
        <v>0</v>
      </c>
      <c r="G46" s="568">
        <f>'2-0044'!F3</f>
        <v>105000</v>
      </c>
      <c r="H46" s="568">
        <f>'2-0044'!G3</f>
        <v>105000</v>
      </c>
      <c r="I46" s="568">
        <f>'2-0044'!H3</f>
        <v>105000</v>
      </c>
      <c r="J46" s="568">
        <f>'2-0044'!I3</f>
        <v>105000</v>
      </c>
      <c r="K46" s="568">
        <f>'2-0044'!J3</f>
        <v>105000</v>
      </c>
      <c r="L46" s="568">
        <f>'2-0044'!K3</f>
        <v>0</v>
      </c>
      <c r="M46" s="568">
        <f>'2-0044'!L3</f>
        <v>105000</v>
      </c>
      <c r="N46" s="568">
        <f>'2-0044'!M3</f>
        <v>105000</v>
      </c>
      <c r="O46" s="568">
        <f>'2-0044'!N3</f>
        <v>105000</v>
      </c>
      <c r="P46" s="566"/>
    </row>
    <row r="47" spans="1:16" s="620" customFormat="1" ht="16" thickBot="1">
      <c r="A47" s="616" t="s">
        <v>176</v>
      </c>
      <c r="B47" s="617" t="str">
        <f>'2-0046'!A3</f>
        <v>Содержание прибрежной полосы( аренда, лицензия, проект)</v>
      </c>
      <c r="C47" s="598">
        <f t="shared" si="2"/>
        <v>2360000</v>
      </c>
      <c r="D47" s="618">
        <f>'2-0046'!C3</f>
        <v>2030000</v>
      </c>
      <c r="E47" s="619">
        <f>'2-0046'!D3</f>
        <v>30000</v>
      </c>
      <c r="F47" s="619">
        <f>'2-0046'!E3</f>
        <v>30000</v>
      </c>
      <c r="G47" s="619">
        <f>'2-0046'!F3</f>
        <v>30000</v>
      </c>
      <c r="H47" s="619">
        <f>'2-0046'!G3</f>
        <v>30000</v>
      </c>
      <c r="I47" s="619">
        <f>'2-0046'!H3</f>
        <v>30000</v>
      </c>
      <c r="J47" s="619">
        <f>'2-0046'!I3</f>
        <v>30000</v>
      </c>
      <c r="K47" s="619">
        <f>'2-0046'!J3</f>
        <v>30000</v>
      </c>
      <c r="L47" s="619">
        <f>'2-0046'!K3</f>
        <v>30000</v>
      </c>
      <c r="M47" s="619">
        <f>'2-0046'!L3</f>
        <v>30000</v>
      </c>
      <c r="N47" s="619">
        <f>'2-0046'!M3</f>
        <v>30000</v>
      </c>
      <c r="O47" s="619">
        <f>'2-0046'!N3</f>
        <v>30000</v>
      </c>
    </row>
    <row r="48" spans="1:16" s="625" customFormat="1" ht="15" thickBot="1">
      <c r="A48" s="621"/>
      <c r="B48" s="622" t="str">
        <f>'2-001'!A44</f>
        <v>Охрана ЧОП</v>
      </c>
      <c r="C48" s="592">
        <f t="shared" si="2"/>
        <v>23220000</v>
      </c>
      <c r="D48" s="623">
        <f t="shared" ref="D48:O48" si="7">SUM(D49:D52)</f>
        <v>1935000</v>
      </c>
      <c r="E48" s="624">
        <f t="shared" si="7"/>
        <v>1935000</v>
      </c>
      <c r="F48" s="624">
        <f t="shared" si="7"/>
        <v>1935000</v>
      </c>
      <c r="G48" s="624">
        <f t="shared" si="7"/>
        <v>1935000</v>
      </c>
      <c r="H48" s="624">
        <f t="shared" si="7"/>
        <v>1935000</v>
      </c>
      <c r="I48" s="624">
        <f t="shared" si="7"/>
        <v>1935000</v>
      </c>
      <c r="J48" s="624">
        <f t="shared" si="7"/>
        <v>1935000</v>
      </c>
      <c r="K48" s="624">
        <f t="shared" si="7"/>
        <v>1935000</v>
      </c>
      <c r="L48" s="624">
        <f t="shared" si="7"/>
        <v>1935000</v>
      </c>
      <c r="M48" s="624">
        <f t="shared" si="7"/>
        <v>1935000</v>
      </c>
      <c r="N48" s="624">
        <f t="shared" si="7"/>
        <v>1935000</v>
      </c>
      <c r="O48" s="624">
        <f t="shared" si="7"/>
        <v>1935000</v>
      </c>
    </row>
    <row r="49" spans="1:16" ht="16" thickBot="1">
      <c r="A49" s="613" t="s">
        <v>178</v>
      </c>
      <c r="B49" s="597" t="str">
        <f>'2-0048'!A3</f>
        <v>Договор на охрану поселка</v>
      </c>
      <c r="C49" s="598">
        <f t="shared" si="2"/>
        <v>22800000</v>
      </c>
      <c r="D49" s="599">
        <f>'2-0048'!C3</f>
        <v>1900000</v>
      </c>
      <c r="E49" s="611">
        <f>'2-0048'!D3</f>
        <v>1900000</v>
      </c>
      <c r="F49" s="611">
        <f>'2-0048'!E3</f>
        <v>1900000</v>
      </c>
      <c r="G49" s="611">
        <f>'2-0048'!F3</f>
        <v>1900000</v>
      </c>
      <c r="H49" s="611">
        <f>'2-0048'!G3</f>
        <v>1900000</v>
      </c>
      <c r="I49" s="611">
        <f>'2-0048'!H3</f>
        <v>1900000</v>
      </c>
      <c r="J49" s="611">
        <f>'2-0048'!I3</f>
        <v>1900000</v>
      </c>
      <c r="K49" s="611">
        <f>'2-0048'!J3</f>
        <v>1900000</v>
      </c>
      <c r="L49" s="611">
        <f>'2-0048'!K3</f>
        <v>1900000</v>
      </c>
      <c r="M49" s="611">
        <f>'2-0048'!L3</f>
        <v>1900000</v>
      </c>
      <c r="N49" s="611">
        <f>'2-0048'!M3</f>
        <v>1900000</v>
      </c>
      <c r="O49" s="611">
        <f>'2-0048'!N3</f>
        <v>1900000</v>
      </c>
      <c r="P49" s="566"/>
    </row>
    <row r="50" spans="1:16" ht="16" thickBot="1">
      <c r="A50" s="613" t="s">
        <v>179</v>
      </c>
      <c r="B50" s="602" t="str">
        <f>'2-0049'!A3</f>
        <v>Обслуживание и ремонт КПП</v>
      </c>
      <c r="C50" s="598">
        <f t="shared" si="2"/>
        <v>90000</v>
      </c>
      <c r="D50" s="560">
        <f>'2-0049'!C3</f>
        <v>15000</v>
      </c>
      <c r="E50" s="560">
        <f>'2-0049'!D3</f>
        <v>0</v>
      </c>
      <c r="F50" s="560">
        <f>'2-0049'!E3</f>
        <v>15000</v>
      </c>
      <c r="G50" s="560">
        <f>'2-0049'!F3</f>
        <v>0</v>
      </c>
      <c r="H50" s="560">
        <f>'2-0049'!G3</f>
        <v>15000</v>
      </c>
      <c r="I50" s="560">
        <f>'2-0049'!H3</f>
        <v>0</v>
      </c>
      <c r="J50" s="560">
        <f>'2-0049'!I3</f>
        <v>15000</v>
      </c>
      <c r="K50" s="560">
        <f>'2-0049'!J3</f>
        <v>0</v>
      </c>
      <c r="L50" s="560">
        <f>'2-0049'!K3</f>
        <v>15000</v>
      </c>
      <c r="M50" s="560">
        <f>'2-0049'!L3</f>
        <v>0</v>
      </c>
      <c r="N50" s="560">
        <f>'2-0049'!M3</f>
        <v>15000</v>
      </c>
      <c r="O50" s="560">
        <f>'2-0049'!N3</f>
        <v>0</v>
      </c>
      <c r="P50" s="566"/>
    </row>
    <row r="51" spans="1:16" ht="30" thickBot="1">
      <c r="A51" s="613" t="s">
        <v>181</v>
      </c>
      <c r="B51" s="602" t="str">
        <f>'2-0051'!A3</f>
        <v>Обслуживание   камер системы видеонаблюдения (покупка и ремонт камер, ПО и сервер, работы)</v>
      </c>
      <c r="C51" s="598">
        <f t="shared" si="2"/>
        <v>90000</v>
      </c>
      <c r="D51" s="560">
        <f>'2-0051'!C3</f>
        <v>0</v>
      </c>
      <c r="E51" s="568">
        <f>'2-0051'!D3</f>
        <v>15000</v>
      </c>
      <c r="F51" s="568">
        <f>'2-0051'!E3</f>
        <v>0</v>
      </c>
      <c r="G51" s="568">
        <f>'2-0051'!F3</f>
        <v>15000</v>
      </c>
      <c r="H51" s="568">
        <f>'2-0051'!G3</f>
        <v>0</v>
      </c>
      <c r="I51" s="568">
        <f>'2-0051'!H3</f>
        <v>15000</v>
      </c>
      <c r="J51" s="568">
        <f>'2-0051'!I3</f>
        <v>0</v>
      </c>
      <c r="K51" s="568">
        <f>'2-0051'!J3</f>
        <v>15000</v>
      </c>
      <c r="L51" s="568">
        <f>'2-0051'!K3</f>
        <v>0</v>
      </c>
      <c r="M51" s="568">
        <f>'2-0051'!L3</f>
        <v>15000</v>
      </c>
      <c r="N51" s="568">
        <f>'2-0051'!M3</f>
        <v>0</v>
      </c>
      <c r="O51" s="568">
        <f>'2-0051'!N3</f>
        <v>15000</v>
      </c>
      <c r="P51" s="566"/>
    </row>
    <row r="52" spans="1:16" ht="16" thickBot="1">
      <c r="A52" s="613" t="s">
        <v>183</v>
      </c>
      <c r="B52" s="614" t="str">
        <f>'2-0053'!A3</f>
        <v>Обслуживание ОПС (Ремонты, ТО )</v>
      </c>
      <c r="C52" s="598">
        <f t="shared" si="2"/>
        <v>240000</v>
      </c>
      <c r="D52" s="606">
        <f>'2-0053'!C3</f>
        <v>20000</v>
      </c>
      <c r="E52" s="607">
        <f>'2-0053'!D3</f>
        <v>20000</v>
      </c>
      <c r="F52" s="607">
        <f>'2-0053'!E3</f>
        <v>20000</v>
      </c>
      <c r="G52" s="607">
        <f>'2-0053'!F3</f>
        <v>20000</v>
      </c>
      <c r="H52" s="607">
        <f>'2-0053'!G3</f>
        <v>20000</v>
      </c>
      <c r="I52" s="607">
        <f>'2-0053'!H3</f>
        <v>20000</v>
      </c>
      <c r="J52" s="607">
        <f>'2-0053'!I3</f>
        <v>20000</v>
      </c>
      <c r="K52" s="607">
        <f>'2-0053'!J3</f>
        <v>20000</v>
      </c>
      <c r="L52" s="607">
        <f>'2-0053'!K3</f>
        <v>20000</v>
      </c>
      <c r="M52" s="607">
        <f>'2-0053'!L3</f>
        <v>20000</v>
      </c>
      <c r="N52" s="607">
        <f>'2-0053'!M3</f>
        <v>20000</v>
      </c>
      <c r="O52" s="607">
        <f>'2-0053'!N3</f>
        <v>20000</v>
      </c>
      <c r="P52" s="566"/>
    </row>
    <row r="53" spans="1:16" s="609" customFormat="1" ht="29" thickBot="1">
      <c r="A53" s="590"/>
      <c r="B53" s="591" t="str">
        <f>'2-001'!A51</f>
        <v>Затраты на обслуживание сетей (работы, услуги, материалы (кроме ВЗУ))</v>
      </c>
      <c r="C53" s="592">
        <f t="shared" si="2"/>
        <v>615000</v>
      </c>
      <c r="D53" s="593">
        <f>SUM(D54:D57)</f>
        <v>70000</v>
      </c>
      <c r="E53" s="594">
        <f t="shared" ref="E53:O53" si="8">SUM(E54:E57)</f>
        <v>35000</v>
      </c>
      <c r="F53" s="594">
        <f t="shared" si="8"/>
        <v>20000</v>
      </c>
      <c r="G53" s="594">
        <f t="shared" si="8"/>
        <v>60000</v>
      </c>
      <c r="H53" s="594">
        <f t="shared" si="8"/>
        <v>85000</v>
      </c>
      <c r="I53" s="594">
        <f t="shared" si="8"/>
        <v>0</v>
      </c>
      <c r="J53" s="594">
        <f t="shared" si="8"/>
        <v>55000</v>
      </c>
      <c r="K53" s="594">
        <f t="shared" si="8"/>
        <v>35000</v>
      </c>
      <c r="L53" s="594">
        <f t="shared" si="8"/>
        <v>50000</v>
      </c>
      <c r="M53" s="594">
        <f t="shared" si="8"/>
        <v>135000</v>
      </c>
      <c r="N53" s="594">
        <f t="shared" si="8"/>
        <v>55000</v>
      </c>
      <c r="O53" s="594">
        <f t="shared" si="8"/>
        <v>15000</v>
      </c>
    </row>
    <row r="54" spans="1:16" ht="30" thickBot="1">
      <c r="A54" s="613" t="s">
        <v>184</v>
      </c>
      <c r="B54" s="597" t="str">
        <f>'2-0054'!A3</f>
        <v>Обслуживание сетей Хозяйтсвенно-бытовой канализации  (Модернизация, ремонты, ТО)</v>
      </c>
      <c r="C54" s="598">
        <f t="shared" si="2"/>
        <v>380000</v>
      </c>
      <c r="D54" s="599">
        <f>'2-0054'!C3</f>
        <v>40000</v>
      </c>
      <c r="E54" s="611">
        <f>'2-0054'!D3</f>
        <v>20000</v>
      </c>
      <c r="F54" s="611">
        <f>'2-0054'!E3</f>
        <v>20000</v>
      </c>
      <c r="G54" s="611">
        <f>'2-0054'!F3</f>
        <v>20000</v>
      </c>
      <c r="H54" s="611">
        <f>'2-0054'!G3</f>
        <v>40000</v>
      </c>
      <c r="I54" s="611">
        <f>'2-0054'!H3</f>
        <v>0</v>
      </c>
      <c r="J54" s="611">
        <f>'2-0054'!I3</f>
        <v>40000</v>
      </c>
      <c r="K54" s="611">
        <f>'2-0054'!J3</f>
        <v>20000</v>
      </c>
      <c r="L54" s="611">
        <f>'2-0054'!K3</f>
        <v>20000</v>
      </c>
      <c r="M54" s="611">
        <f>'2-0054'!L3</f>
        <v>120000</v>
      </c>
      <c r="N54" s="611">
        <f>'2-0054'!M3</f>
        <v>40000</v>
      </c>
      <c r="O54" s="611">
        <f>'2-0054'!N3</f>
        <v>0</v>
      </c>
      <c r="P54" s="566"/>
    </row>
    <row r="55" spans="1:16" ht="30" thickBot="1">
      <c r="A55" s="613" t="s">
        <v>185</v>
      </c>
      <c r="B55" s="602" t="str">
        <f>'2-0055'!A3</f>
        <v>Обслуживание сетей пож.водопровода (Модернизация, Ремонты, ТО, документация)</v>
      </c>
      <c r="C55" s="598">
        <f t="shared" si="2"/>
        <v>60000</v>
      </c>
      <c r="D55" s="560">
        <f>'2-0055'!C3</f>
        <v>0</v>
      </c>
      <c r="E55" s="568">
        <f>'2-0055'!D3</f>
        <v>0</v>
      </c>
      <c r="F55" s="568">
        <f>'2-0055'!E3</f>
        <v>0</v>
      </c>
      <c r="G55" s="568">
        <f>'2-0055'!F3</f>
        <v>0</v>
      </c>
      <c r="H55" s="568">
        <f>'2-0055'!G3</f>
        <v>30000</v>
      </c>
      <c r="I55" s="568">
        <f>'2-0055'!H3</f>
        <v>0</v>
      </c>
      <c r="J55" s="568">
        <f>'2-0055'!I3</f>
        <v>0</v>
      </c>
      <c r="K55" s="568">
        <f>'2-0055'!J3</f>
        <v>0</v>
      </c>
      <c r="L55" s="568">
        <f>'2-0055'!K3</f>
        <v>30000</v>
      </c>
      <c r="M55" s="568">
        <f>'2-0055'!L3</f>
        <v>0</v>
      </c>
      <c r="N55" s="568">
        <f>'2-0055'!M3</f>
        <v>0</v>
      </c>
      <c r="O55" s="568">
        <f>'2-0055'!N3</f>
        <v>0</v>
      </c>
      <c r="P55" s="566"/>
    </row>
    <row r="56" spans="1:16" ht="16" thickBot="1">
      <c r="A56" s="613" t="s">
        <v>186</v>
      </c>
      <c r="B56" s="602" t="str">
        <f>'2-0056'!A3</f>
        <v>Расходные материалы (инструменты, расходные материалы)</v>
      </c>
      <c r="C56" s="598">
        <f t="shared" si="2"/>
        <v>135000</v>
      </c>
      <c r="D56" s="560">
        <f>'2-0056'!C3</f>
        <v>30000</v>
      </c>
      <c r="E56" s="560">
        <f>'2-0056'!D3</f>
        <v>15000</v>
      </c>
      <c r="F56" s="560">
        <f>'2-0056'!E3</f>
        <v>0</v>
      </c>
      <c r="G56" s="560">
        <f>'2-0056'!F3</f>
        <v>0</v>
      </c>
      <c r="H56" s="560">
        <f>'2-0056'!G3</f>
        <v>15000</v>
      </c>
      <c r="I56" s="560">
        <f>'2-0056'!H3</f>
        <v>0</v>
      </c>
      <c r="J56" s="560">
        <f>'2-0056'!I3</f>
        <v>15000</v>
      </c>
      <c r="K56" s="560">
        <f>'2-0056'!J3</f>
        <v>15000</v>
      </c>
      <c r="L56" s="560">
        <f>'2-0056'!K3</f>
        <v>0</v>
      </c>
      <c r="M56" s="560">
        <f>'2-0056'!L3</f>
        <v>15000</v>
      </c>
      <c r="N56" s="560">
        <f>'2-0056'!M3</f>
        <v>15000</v>
      </c>
      <c r="O56" s="560">
        <f>'2-0056'!N3</f>
        <v>15000</v>
      </c>
      <c r="P56" s="566"/>
    </row>
    <row r="57" spans="1:16" ht="16" thickBot="1">
      <c r="A57" s="613" t="s">
        <v>187</v>
      </c>
      <c r="B57" s="614" t="str">
        <f>'2-001'!A55</f>
        <v>Обслуживание ЛОСов (Ремонты, ТО)</v>
      </c>
      <c r="C57" s="598">
        <f t="shared" si="2"/>
        <v>40000</v>
      </c>
      <c r="D57" s="606">
        <f>'2-0057'!C3</f>
        <v>0</v>
      </c>
      <c r="E57" s="607">
        <f>'2-0057'!D3</f>
        <v>0</v>
      </c>
      <c r="F57" s="607">
        <f>'2-0057'!E3</f>
        <v>0</v>
      </c>
      <c r="G57" s="607">
        <f>'2-0057'!F3</f>
        <v>40000</v>
      </c>
      <c r="H57" s="607">
        <f>'2-0057'!G3</f>
        <v>0</v>
      </c>
      <c r="I57" s="607">
        <f>'2-0057'!H3</f>
        <v>0</v>
      </c>
      <c r="J57" s="607">
        <f>'2-0057'!I3</f>
        <v>0</v>
      </c>
      <c r="K57" s="607">
        <f>'2-0057'!J3</f>
        <v>0</v>
      </c>
      <c r="L57" s="607">
        <f>'2-0057'!K3</f>
        <v>0</v>
      </c>
      <c r="M57" s="607">
        <f>'2-0057'!L3</f>
        <v>0</v>
      </c>
      <c r="N57" s="607">
        <f>'2-0057'!M3</f>
        <v>0</v>
      </c>
      <c r="O57" s="607">
        <f>'2-0057'!N3</f>
        <v>0</v>
      </c>
      <c r="P57" s="566"/>
    </row>
    <row r="58" spans="1:16" s="609" customFormat="1" ht="15" thickBot="1">
      <c r="A58" s="590"/>
      <c r="B58" s="591" t="str">
        <f>'2-001'!A56</f>
        <v>Электрохозяйство</v>
      </c>
      <c r="C58" s="592">
        <f t="shared" si="2"/>
        <v>400000</v>
      </c>
      <c r="D58" s="593">
        <f t="shared" ref="D58:O58" si="9">SUM(D59:D60)</f>
        <v>45000</v>
      </c>
      <c r="E58" s="594">
        <f t="shared" si="9"/>
        <v>15000</v>
      </c>
      <c r="F58" s="594">
        <f t="shared" si="9"/>
        <v>115000</v>
      </c>
      <c r="G58" s="594">
        <f t="shared" si="9"/>
        <v>55000</v>
      </c>
      <c r="H58" s="594">
        <f t="shared" si="9"/>
        <v>50000</v>
      </c>
      <c r="I58" s="594">
        <f t="shared" si="9"/>
        <v>0</v>
      </c>
      <c r="J58" s="594">
        <f t="shared" si="9"/>
        <v>30000</v>
      </c>
      <c r="K58" s="594">
        <f t="shared" si="9"/>
        <v>15000</v>
      </c>
      <c r="L58" s="594">
        <f t="shared" si="9"/>
        <v>15000</v>
      </c>
      <c r="M58" s="594">
        <f t="shared" si="9"/>
        <v>15000</v>
      </c>
      <c r="N58" s="594">
        <f t="shared" si="9"/>
        <v>30000</v>
      </c>
      <c r="O58" s="594">
        <f t="shared" si="9"/>
        <v>15000</v>
      </c>
    </row>
    <row r="59" spans="1:16" ht="30" thickBot="1">
      <c r="A59" s="613" t="s">
        <v>188</v>
      </c>
      <c r="B59" s="597" t="str">
        <f>'2-0058'!A3</f>
        <v>Электрохозяйство (Аварийный ремонт, модернизация инженерных сооружений)</v>
      </c>
      <c r="C59" s="626">
        <f t="shared" si="2"/>
        <v>300000</v>
      </c>
      <c r="D59" s="599">
        <f>'2-0058'!C3</f>
        <v>45000</v>
      </c>
      <c r="E59" s="611">
        <f>'2-0058'!D3</f>
        <v>15000</v>
      </c>
      <c r="F59" s="611">
        <f>'2-0058'!E3</f>
        <v>15000</v>
      </c>
      <c r="G59" s="611">
        <f>'2-0058'!F3</f>
        <v>55000</v>
      </c>
      <c r="H59" s="611">
        <f>'2-0058'!G3</f>
        <v>50000</v>
      </c>
      <c r="I59" s="611">
        <f>'2-0058'!H3</f>
        <v>0</v>
      </c>
      <c r="J59" s="611">
        <f>'2-0058'!I3</f>
        <v>30000</v>
      </c>
      <c r="K59" s="611">
        <f>'2-0058'!J3</f>
        <v>15000</v>
      </c>
      <c r="L59" s="611">
        <f>'2-0058'!K3</f>
        <v>15000</v>
      </c>
      <c r="M59" s="611">
        <f>'2-0058'!L3</f>
        <v>15000</v>
      </c>
      <c r="N59" s="611">
        <f>'2-0058'!M3</f>
        <v>30000</v>
      </c>
      <c r="O59" s="611">
        <f>'2-0058'!N3</f>
        <v>15000</v>
      </c>
      <c r="P59" s="566"/>
    </row>
    <row r="60" spans="1:16" ht="30" thickBot="1">
      <c r="A60" s="613" t="s">
        <v>191</v>
      </c>
      <c r="B60" s="627" t="str">
        <f>'2-0061'!A3</f>
        <v>Мероприятия по переаттестации ( электробезопасность, работа на высоте, работник люльки)</v>
      </c>
      <c r="C60" s="628">
        <f t="shared" si="2"/>
        <v>100000</v>
      </c>
      <c r="D60" s="606">
        <f>'2-0061'!C3</f>
        <v>0</v>
      </c>
      <c r="E60" s="607">
        <f>'2-0061'!D3</f>
        <v>0</v>
      </c>
      <c r="F60" s="607">
        <f>'2-0061'!E3</f>
        <v>100000</v>
      </c>
      <c r="G60" s="607">
        <f>'2-0061'!F3</f>
        <v>0</v>
      </c>
      <c r="H60" s="607">
        <f>'2-0061'!G3</f>
        <v>0</v>
      </c>
      <c r="I60" s="607">
        <f>'2-0061'!H3</f>
        <v>0</v>
      </c>
      <c r="J60" s="607">
        <f>'2-0061'!I3</f>
        <v>0</v>
      </c>
      <c r="K60" s="607">
        <f>'2-0061'!J3</f>
        <v>0</v>
      </c>
      <c r="L60" s="607">
        <f>'2-0061'!K3</f>
        <v>0</v>
      </c>
      <c r="M60" s="607">
        <f>'2-0061'!L3</f>
        <v>0</v>
      </c>
      <c r="N60" s="607">
        <f>'2-0061'!M3</f>
        <v>0</v>
      </c>
      <c r="O60" s="607">
        <f>'2-0061'!N3</f>
        <v>0</v>
      </c>
      <c r="P60" s="566"/>
    </row>
    <row r="61" spans="1:16" s="609" customFormat="1" ht="16" thickBot="1">
      <c r="A61" s="613" t="s">
        <v>192</v>
      </c>
      <c r="B61" s="629" t="str">
        <f>'2-0062'!A3</f>
        <v xml:space="preserve">Имущественные налоги (земельный налог, окружающая среда) </v>
      </c>
      <c r="C61" s="630">
        <f t="shared" si="2"/>
        <v>3186500</v>
      </c>
      <c r="D61" s="593">
        <f>'2-0062'!C3</f>
        <v>650000</v>
      </c>
      <c r="E61" s="594">
        <f>'2-0062'!D3</f>
        <v>107000</v>
      </c>
      <c r="F61" s="594">
        <f>'2-0062'!E3</f>
        <v>697000</v>
      </c>
      <c r="G61" s="594">
        <f>'2-0062'!F3</f>
        <v>0</v>
      </c>
      <c r="H61" s="594">
        <f>'2-0062'!G3</f>
        <v>0</v>
      </c>
      <c r="I61" s="594">
        <f>'2-0062'!H3</f>
        <v>650000</v>
      </c>
      <c r="J61" s="594">
        <f>'2-0062'!I3</f>
        <v>0</v>
      </c>
      <c r="K61" s="594">
        <f>'2-0062'!J3</f>
        <v>0</v>
      </c>
      <c r="L61" s="594">
        <f>'2-0062'!K3</f>
        <v>650000</v>
      </c>
      <c r="M61" s="594">
        <f>'2-0062'!L3</f>
        <v>337500</v>
      </c>
      <c r="N61" s="594">
        <f>'2-0062'!M3</f>
        <v>95000</v>
      </c>
      <c r="O61" s="594">
        <f>'2-0062'!N3</f>
        <v>0</v>
      </c>
    </row>
    <row r="62" spans="1:16" s="620" customFormat="1" ht="16" thickBot="1">
      <c r="A62" s="616" t="s">
        <v>193</v>
      </c>
      <c r="B62" s="629" t="str">
        <f>'2-0063'!A3</f>
        <v>Общепоселковые Мероприятия</v>
      </c>
      <c r="C62" s="630">
        <f t="shared" si="2"/>
        <v>360000</v>
      </c>
      <c r="D62" s="593">
        <f>'2-0063'!C3</f>
        <v>80000</v>
      </c>
      <c r="E62" s="593">
        <f>'2-0063'!D3</f>
        <v>0</v>
      </c>
      <c r="F62" s="593">
        <f>'2-0063'!E3</f>
        <v>100000</v>
      </c>
      <c r="G62" s="593">
        <f>'2-0063'!F3</f>
        <v>0</v>
      </c>
      <c r="H62" s="593">
        <f>'2-0063'!G3</f>
        <v>100000</v>
      </c>
      <c r="I62" s="593">
        <f>'2-0063'!H3</f>
        <v>0</v>
      </c>
      <c r="J62" s="593">
        <f>'2-0063'!I3</f>
        <v>0</v>
      </c>
      <c r="K62" s="593">
        <f>'2-0063'!J3</f>
        <v>0</v>
      </c>
      <c r="L62" s="593">
        <f>'2-0063'!K3</f>
        <v>0</v>
      </c>
      <c r="M62" s="593">
        <f>'2-0063'!L3</f>
        <v>0</v>
      </c>
      <c r="N62" s="593">
        <f>'2-0063'!M3</f>
        <v>0</v>
      </c>
      <c r="O62" s="593">
        <f>'2-0063'!N3</f>
        <v>80000</v>
      </c>
    </row>
    <row r="63" spans="1:16" s="609" customFormat="1" ht="15" thickBot="1">
      <c r="A63" s="631"/>
      <c r="B63" s="591" t="str">
        <f>'2-001'!A67</f>
        <v xml:space="preserve"> ВЗУ</v>
      </c>
      <c r="C63" s="592">
        <f t="shared" si="2"/>
        <v>1020000</v>
      </c>
      <c r="D63" s="593">
        <f>SUM(D64:D67)</f>
        <v>110000</v>
      </c>
      <c r="E63" s="594">
        <f t="shared" ref="E63:O63" si="10">SUM(E64:E67)</f>
        <v>40000</v>
      </c>
      <c r="F63" s="594">
        <f t="shared" si="10"/>
        <v>90000</v>
      </c>
      <c r="G63" s="594">
        <f t="shared" si="10"/>
        <v>80000</v>
      </c>
      <c r="H63" s="594">
        <f t="shared" si="10"/>
        <v>105000</v>
      </c>
      <c r="I63" s="594">
        <f t="shared" si="10"/>
        <v>25000</v>
      </c>
      <c r="J63" s="594">
        <f t="shared" si="10"/>
        <v>230000</v>
      </c>
      <c r="K63" s="594">
        <f t="shared" si="10"/>
        <v>40000</v>
      </c>
      <c r="L63" s="594">
        <f t="shared" si="10"/>
        <v>90000</v>
      </c>
      <c r="M63" s="594">
        <f t="shared" si="10"/>
        <v>95000</v>
      </c>
      <c r="N63" s="594">
        <f t="shared" si="10"/>
        <v>55000</v>
      </c>
      <c r="O63" s="594">
        <f t="shared" si="10"/>
        <v>60000</v>
      </c>
    </row>
    <row r="64" spans="1:16" ht="18.75" customHeight="1" thickBot="1">
      <c r="A64" s="613" t="s">
        <v>197</v>
      </c>
      <c r="B64" s="597" t="str">
        <f>'2-0067'!A3</f>
        <v>Проектирование и модернизация ВЗУ в т.ч. ТО</v>
      </c>
      <c r="C64" s="598">
        <f t="shared" si="2"/>
        <v>410000</v>
      </c>
      <c r="D64" s="599">
        <f>'2-0067'!C3</f>
        <v>30000</v>
      </c>
      <c r="E64" s="611">
        <f>'2-0067'!D3</f>
        <v>0</v>
      </c>
      <c r="F64" s="611">
        <f>'2-0067'!E3</f>
        <v>50000</v>
      </c>
      <c r="G64" s="611">
        <f>'2-0067'!F3</f>
        <v>30000</v>
      </c>
      <c r="H64" s="611">
        <f>'2-0067'!G3</f>
        <v>50000</v>
      </c>
      <c r="I64" s="611">
        <f>'2-0067'!H3</f>
        <v>0</v>
      </c>
      <c r="J64" s="611">
        <f>'2-0067'!I3</f>
        <v>150000</v>
      </c>
      <c r="K64" s="611">
        <f>'2-0067'!J3</f>
        <v>0</v>
      </c>
      <c r="L64" s="611">
        <f>'2-0067'!K3</f>
        <v>50000</v>
      </c>
      <c r="M64" s="611">
        <f>'2-0067'!L3</f>
        <v>30000</v>
      </c>
      <c r="N64" s="611">
        <f>'2-0067'!M3</f>
        <v>0</v>
      </c>
      <c r="O64" s="611">
        <f>'2-0067'!N3</f>
        <v>20000</v>
      </c>
      <c r="P64" s="566"/>
    </row>
    <row r="65" spans="1:16" ht="16" thickBot="1">
      <c r="A65" s="613" t="s">
        <v>198</v>
      </c>
      <c r="B65" s="601" t="str">
        <f>'2-0068'!A3</f>
        <v>Водный налог</v>
      </c>
      <c r="C65" s="598">
        <f>SUM(D65:O65)</f>
        <v>100000</v>
      </c>
      <c r="D65" s="560">
        <f>'2-0068'!C3</f>
        <v>25000</v>
      </c>
      <c r="E65" s="568">
        <f>'2-0068'!D3</f>
        <v>0</v>
      </c>
      <c r="F65" s="568">
        <f>'2-0068'!E3</f>
        <v>0</v>
      </c>
      <c r="G65" s="568">
        <f>'2-0068'!F3</f>
        <v>25000</v>
      </c>
      <c r="H65" s="568">
        <f>'2-0068'!G3</f>
        <v>0</v>
      </c>
      <c r="I65" s="568">
        <f>'2-0068'!H3</f>
        <v>0</v>
      </c>
      <c r="J65" s="568">
        <f>'2-0068'!I3</f>
        <v>25000</v>
      </c>
      <c r="K65" s="568">
        <f>'2-0068'!J3</f>
        <v>0</v>
      </c>
      <c r="L65" s="568">
        <f>'2-0068'!K3</f>
        <v>0</v>
      </c>
      <c r="M65" s="568">
        <f>'2-0068'!L3</f>
        <v>25000</v>
      </c>
      <c r="N65" s="568">
        <f>'2-0068'!M3</f>
        <v>0</v>
      </c>
      <c r="O65" s="568">
        <f>'2-0068'!N3</f>
        <v>0</v>
      </c>
      <c r="P65" s="566"/>
    </row>
    <row r="66" spans="1:16" ht="15" customHeight="1" thickBot="1">
      <c r="A66" s="613" t="s">
        <v>199</v>
      </c>
      <c r="B66" s="602" t="s">
        <v>729</v>
      </c>
      <c r="C66" s="598">
        <f>SUM(D66:O66)</f>
        <v>300000</v>
      </c>
      <c r="D66" s="560">
        <f>'2-0069'!C3</f>
        <v>25000</v>
      </c>
      <c r="E66" s="568">
        <f>'2-0069'!D3</f>
        <v>25000</v>
      </c>
      <c r="F66" s="568">
        <f>'2-0069'!E3</f>
        <v>25000</v>
      </c>
      <c r="G66" s="568">
        <f>'2-0069'!F3</f>
        <v>25000</v>
      </c>
      <c r="H66" s="568">
        <f>'2-0069'!G3</f>
        <v>25000</v>
      </c>
      <c r="I66" s="568">
        <f>'2-0069'!H3</f>
        <v>25000</v>
      </c>
      <c r="J66" s="568">
        <f>'2-0069'!I3</f>
        <v>25000</v>
      </c>
      <c r="K66" s="568">
        <f>'2-0069'!J3</f>
        <v>25000</v>
      </c>
      <c r="L66" s="568">
        <f>'2-0069'!K3</f>
        <v>25000</v>
      </c>
      <c r="M66" s="568">
        <f>'2-0069'!L3</f>
        <v>25000</v>
      </c>
      <c r="N66" s="568">
        <f>'2-0069'!M3</f>
        <v>25000</v>
      </c>
      <c r="O66" s="568">
        <f>'2-0069'!N3</f>
        <v>25000</v>
      </c>
      <c r="P66" s="566"/>
    </row>
    <row r="67" spans="1:16" ht="26.25" customHeight="1" thickBot="1">
      <c r="A67" s="613" t="s">
        <v>200</v>
      </c>
      <c r="B67" s="614" t="str">
        <f>'2-0070'!A3</f>
        <v>Обслуживание сетей водоснабжения (материалы, инструмент,  ремонт)</v>
      </c>
      <c r="C67" s="632">
        <f>SUM(D67:O67)</f>
        <v>210000</v>
      </c>
      <c r="D67" s="606">
        <f>'2-0070'!C3</f>
        <v>30000</v>
      </c>
      <c r="E67" s="606">
        <f>'2-0070'!D3</f>
        <v>15000</v>
      </c>
      <c r="F67" s="606">
        <f>'2-0070'!E3</f>
        <v>15000</v>
      </c>
      <c r="G67" s="606">
        <f>'2-0070'!F3</f>
        <v>0</v>
      </c>
      <c r="H67" s="606">
        <f>'2-0070'!G3</f>
        <v>30000</v>
      </c>
      <c r="I67" s="606">
        <f>'2-0070'!H3</f>
        <v>0</v>
      </c>
      <c r="J67" s="606">
        <f>'2-0070'!I3</f>
        <v>30000</v>
      </c>
      <c r="K67" s="606">
        <f>'2-0070'!J3</f>
        <v>15000</v>
      </c>
      <c r="L67" s="606">
        <f>'2-0070'!K3</f>
        <v>15000</v>
      </c>
      <c r="M67" s="606">
        <f>'2-0070'!L3</f>
        <v>15000</v>
      </c>
      <c r="N67" s="606">
        <f>'2-0070'!M3</f>
        <v>30000</v>
      </c>
      <c r="O67" s="606">
        <f>'2-0070'!N3</f>
        <v>15000</v>
      </c>
      <c r="P67" s="566"/>
    </row>
    <row r="68" spans="1:16" ht="16" thickBot="1">
      <c r="A68" s="633" t="s">
        <v>234</v>
      </c>
      <c r="B68" s="634" t="s">
        <v>235</v>
      </c>
      <c r="C68" s="635">
        <f>SUM(D68:O68)</f>
        <v>600000</v>
      </c>
      <c r="D68" s="636">
        <f>'2-0071'!C3</f>
        <v>50000</v>
      </c>
      <c r="E68" s="593">
        <f>'2-0071'!D3</f>
        <v>50000</v>
      </c>
      <c r="F68" s="593">
        <f>'2-0071'!E3</f>
        <v>50000</v>
      </c>
      <c r="G68" s="593">
        <f>'2-0071'!F3</f>
        <v>50000</v>
      </c>
      <c r="H68" s="593">
        <f>'2-0071'!G3</f>
        <v>50000</v>
      </c>
      <c r="I68" s="593">
        <f>'2-0071'!H3</f>
        <v>50000</v>
      </c>
      <c r="J68" s="593">
        <f>'2-0071'!I3</f>
        <v>50000</v>
      </c>
      <c r="K68" s="593">
        <f>'2-0071'!J3</f>
        <v>50000</v>
      </c>
      <c r="L68" s="593">
        <f>'2-0071'!K3</f>
        <v>50000</v>
      </c>
      <c r="M68" s="593">
        <f>'2-0071'!L3</f>
        <v>50000</v>
      </c>
      <c r="N68" s="593">
        <f>'2-0071'!M3</f>
        <v>50000</v>
      </c>
      <c r="O68" s="637">
        <f>'2-0071'!N3</f>
        <v>50000</v>
      </c>
      <c r="P68" s="566"/>
    </row>
    <row r="69" spans="1:16" ht="13">
      <c r="A69" s="638"/>
      <c r="B69" s="583"/>
      <c r="C69" s="639"/>
      <c r="D69" s="640"/>
      <c r="E69" s="641"/>
      <c r="F69" s="641"/>
      <c r="G69" s="641"/>
      <c r="H69" s="641"/>
      <c r="I69" s="641"/>
      <c r="J69" s="641"/>
      <c r="K69" s="641"/>
      <c r="L69" s="641"/>
      <c r="M69" s="641"/>
      <c r="N69" s="641"/>
      <c r="O69" s="641"/>
    </row>
    <row r="70" spans="1:16" ht="15" thickBot="1">
      <c r="A70" s="579">
        <v>4</v>
      </c>
      <c r="B70" s="642" t="s">
        <v>233</v>
      </c>
      <c r="C70" s="643">
        <f>SUM(D70:O70)</f>
        <v>-15991096.199999999</v>
      </c>
      <c r="D70" s="644">
        <f>SUM(D15-D18)</f>
        <v>-3987851.7899999991</v>
      </c>
      <c r="E70" s="644">
        <f t="shared" ref="E70:O70" si="11">SUM(E15-E18)</f>
        <v>-947445.12333333306</v>
      </c>
      <c r="F70" s="644">
        <f t="shared" si="11"/>
        <v>-1650378.4566666661</v>
      </c>
      <c r="G70" s="644">
        <f t="shared" si="11"/>
        <v>-1064851.79</v>
      </c>
      <c r="H70" s="644">
        <f t="shared" si="11"/>
        <v>-941214.46333333384</v>
      </c>
      <c r="I70" s="644">
        <f t="shared" si="11"/>
        <v>-1107907.7966666678</v>
      </c>
      <c r="J70" s="644">
        <f t="shared" si="11"/>
        <v>-1029481.1300000008</v>
      </c>
      <c r="K70" s="644">
        <f t="shared" si="11"/>
        <v>-578914.46333333384</v>
      </c>
      <c r="L70" s="644">
        <f t="shared" si="11"/>
        <v>-1354447.7966666678</v>
      </c>
      <c r="M70" s="644">
        <f t="shared" si="11"/>
        <v>-1499881.1300000008</v>
      </c>
      <c r="N70" s="644">
        <f t="shared" si="11"/>
        <v>-872174.46333333384</v>
      </c>
      <c r="O70" s="644">
        <f t="shared" si="11"/>
        <v>-956547.7966666678</v>
      </c>
    </row>
    <row r="71" spans="1:16" ht="15" thickBot="1">
      <c r="A71" s="579">
        <v>5</v>
      </c>
      <c r="B71" s="642" t="s">
        <v>292</v>
      </c>
      <c r="C71" s="643">
        <f>SUM(C7:C8)+C70</f>
        <v>8903.8000000007451</v>
      </c>
      <c r="D71" s="644"/>
      <c r="E71" s="644"/>
      <c r="F71" s="644"/>
      <c r="G71" s="644"/>
      <c r="H71" s="644"/>
      <c r="I71" s="644"/>
      <c r="J71" s="644"/>
      <c r="K71" s="644"/>
      <c r="L71" s="644"/>
      <c r="M71" s="644"/>
      <c r="N71" s="644"/>
      <c r="O71" s="644"/>
    </row>
    <row r="72" spans="1:16">
      <c r="C72" s="646"/>
      <c r="D72" s="563"/>
      <c r="E72" s="563"/>
      <c r="F72" s="563"/>
      <c r="G72" s="563"/>
      <c r="H72" s="563"/>
      <c r="I72" s="563"/>
      <c r="J72" s="563"/>
      <c r="K72" s="563"/>
      <c r="L72" s="563"/>
      <c r="M72" s="563"/>
      <c r="N72" s="563"/>
      <c r="O72" s="563"/>
    </row>
    <row r="73" spans="1:16" ht="19">
      <c r="B73" s="704" t="s">
        <v>741</v>
      </c>
      <c r="C73" s="705" t="s">
        <v>743</v>
      </c>
      <c r="D73" s="647"/>
      <c r="E73" s="647"/>
      <c r="F73" s="647"/>
      <c r="G73" s="647"/>
      <c r="H73" s="647"/>
    </row>
    <row r="74" spans="1:16" ht="19">
      <c r="B74" s="706" t="s">
        <v>742</v>
      </c>
      <c r="C74" s="707"/>
      <c r="O74" s="648"/>
    </row>
    <row r="75" spans="1:16">
      <c r="C75" s="649"/>
    </row>
    <row r="79" spans="1:16">
      <c r="C79" s="649"/>
    </row>
  </sheetData>
  <sheetProtection algorithmName="SHA-512" hashValue="o2He554ggwHhkM8r4ZAE0OS18jrToJaAhQmRggFipWIkEp2NwI8eC+QjMza4BPIY25O9lmw27LULVNVsMLe9Sw==" saltValue="G/a0GThKv2Y9JQ11EfY9zA==" spinCount="100000" sheet="1" formatCells="0" formatColumns="0" formatRows="0" insertColumns="0" insertRows="0" insertHyperlinks="0" deleteColumns="0" deleteRows="0" sort="0" autoFilter="0" pivotTables="0"/>
  <mergeCells count="6">
    <mergeCell ref="A1:O1"/>
    <mergeCell ref="D3:O3"/>
    <mergeCell ref="C3:C4"/>
    <mergeCell ref="B3:B4"/>
    <mergeCell ref="A3:A4"/>
    <mergeCell ref="A2:O2"/>
  </mergeCells>
  <hyperlinks>
    <hyperlink ref="A7" location="'1-000'!Область_печати" display="1-000" xr:uid="{00000000-0004-0000-0000-000000000000}"/>
    <hyperlink ref="A8" location="'1-001'!Область_печати" display="1-001" xr:uid="{00000000-0004-0000-0000-000001000000}"/>
    <hyperlink ref="A9" location="'1-002'!Область_печати" display="1-002" xr:uid="{00000000-0004-0000-0000-000002000000}"/>
    <hyperlink ref="A10" location="'1-0021'!R1C1" display="1-0021" xr:uid="{00000000-0004-0000-0000-000003000000}"/>
    <hyperlink ref="A11" location="'1-003'!Область_печати" display="1-003" xr:uid="{00000000-0004-0000-0000-000004000000}"/>
    <hyperlink ref="A12" location="'1-004'!Область_печати" display="1-004" xr:uid="{00000000-0004-0000-0000-000005000000}"/>
    <hyperlink ref="A13" location="'1-005'!Область_печати" display="1-005" xr:uid="{00000000-0004-0000-0000-000006000000}"/>
    <hyperlink ref="A14" location="'1-006'!Область_печати" display="1-006" xr:uid="{00000000-0004-0000-0000-000007000000}"/>
    <hyperlink ref="A18" location="'2-001'!R1C1" display="2-001" xr:uid="{00000000-0004-0000-0000-000008000000}"/>
    <hyperlink ref="A20" location="'2-0011'!R1C1" display="2-0011" xr:uid="{00000000-0004-0000-0000-000009000000}"/>
    <hyperlink ref="A22" location="'2-0013'!R1C1" display="2-0013" xr:uid="{00000000-0004-0000-0000-00000A000000}"/>
    <hyperlink ref="A23" location="'2-0014'!R1C1" display="2-0014" xr:uid="{00000000-0004-0000-0000-00000B000000}"/>
    <hyperlink ref="A24" location="'2-0015'!R1C1" display="2-0015" xr:uid="{00000000-0004-0000-0000-00000C000000}"/>
    <hyperlink ref="A25" location="'2-0016'!R1C1" display="2-0016" xr:uid="{00000000-0004-0000-0000-00000D000000}"/>
    <hyperlink ref="A26" location="'2-0017'!R1C1" display="2-0017" xr:uid="{00000000-0004-0000-0000-00000E000000}"/>
    <hyperlink ref="A27" location="'2-0018'!R1C1" display="2-0018" xr:uid="{00000000-0004-0000-0000-00000F000000}"/>
    <hyperlink ref="A28" location="'2-0019'!R1C1" display="2-0019" xr:uid="{00000000-0004-0000-0000-000010000000}"/>
    <hyperlink ref="A29" location="'2-0021'!R1C1" display="2-0021" xr:uid="{00000000-0004-0000-0000-000011000000}"/>
    <hyperlink ref="A31" location="'2-0024'!R1C1" display="2-0024" xr:uid="{00000000-0004-0000-0000-000012000000}"/>
    <hyperlink ref="A32" location="'2-0025'!R1C1" display="2-0025" xr:uid="{00000000-0004-0000-0000-000013000000}"/>
    <hyperlink ref="A34" location="'2-0027'!R1C1" display="2-0027" xr:uid="{00000000-0004-0000-0000-000014000000}"/>
    <hyperlink ref="A35" location="'2-0030'!R1C1" display="2-0030" xr:uid="{00000000-0004-0000-0000-000015000000}"/>
    <hyperlink ref="A36" location="'2-0031'!R1C1" display="2-0031" xr:uid="{00000000-0004-0000-0000-000016000000}"/>
    <hyperlink ref="A38" location="'2-0033'!R1C1" display="2-0033" xr:uid="{00000000-0004-0000-0000-000017000000}"/>
    <hyperlink ref="A39" location="'2-0035'!R1C1" display="2-0035" xr:uid="{00000000-0004-0000-0000-000018000000}"/>
    <hyperlink ref="A41" location="'2-0036'!R1C1" display="2-0036" xr:uid="{00000000-0004-0000-0000-000019000000}"/>
    <hyperlink ref="A42" location="'2-0037'!R1C1" display="2-0037" xr:uid="{00000000-0004-0000-0000-00001A000000}"/>
    <hyperlink ref="A43" location="'2-0039'!R1C1" display="2-0039" xr:uid="{00000000-0004-0000-0000-00001B000000}"/>
    <hyperlink ref="A45" location="'2-0043'!R1C1" display="2-0043" xr:uid="{00000000-0004-0000-0000-00001C000000}"/>
    <hyperlink ref="A46" location="'2-0044'!R1C1" display="2-0044" xr:uid="{00000000-0004-0000-0000-00001D000000}"/>
    <hyperlink ref="A49" location="'2-0048'!R1C1" display="2-0048" xr:uid="{00000000-0004-0000-0000-00001E000000}"/>
    <hyperlink ref="A50" location="'2-0049'!R1C1" display="2-0049" xr:uid="{00000000-0004-0000-0000-00001F000000}"/>
    <hyperlink ref="A51" location="'2-0051'!R1C1" display="2-0051" xr:uid="{00000000-0004-0000-0000-000020000000}"/>
    <hyperlink ref="A52" location="'2-0053'!R1C1" display="2-0053" xr:uid="{00000000-0004-0000-0000-000021000000}"/>
    <hyperlink ref="A54" location="'2-0054'!R1C1" display="2-0054" xr:uid="{00000000-0004-0000-0000-000022000000}"/>
    <hyperlink ref="A55" location="'2-0055'!R1C1" display="2-0055" xr:uid="{00000000-0004-0000-0000-000023000000}"/>
    <hyperlink ref="A56" location="'2-0056'!R1C1" display="2-0056" xr:uid="{00000000-0004-0000-0000-000024000000}"/>
    <hyperlink ref="A57" location="'2-0057'!R1C1" display="2-0057" xr:uid="{00000000-0004-0000-0000-000025000000}"/>
    <hyperlink ref="A59" location="'2-0058'!R1C1" display="2-0058" xr:uid="{00000000-0004-0000-0000-000026000000}"/>
    <hyperlink ref="A60" location="'2-0061'!R1C1" display="2-0061" xr:uid="{00000000-0004-0000-0000-000027000000}"/>
    <hyperlink ref="A61" location="'2-0062'!R1C1" display="2-0062" xr:uid="{00000000-0004-0000-0000-000028000000}"/>
    <hyperlink ref="A62" location="'2-0063'!R1C1" display="2-0063" xr:uid="{00000000-0004-0000-0000-000029000000}"/>
    <hyperlink ref="A65" location="'2-0068'!R1C1" display="2-0068" xr:uid="{00000000-0004-0000-0000-00002A000000}"/>
    <hyperlink ref="A66" location="'2-0069'!R1C1" display="2-0069" xr:uid="{00000000-0004-0000-0000-00002B000000}"/>
    <hyperlink ref="A67" location="'2-0070'!R1C1" display="2-0070" xr:uid="{00000000-0004-0000-0000-00002C000000}"/>
    <hyperlink ref="A68" location="'2-0071'!R1C1" display="2-0071" xr:uid="{00000000-0004-0000-0000-00002D000000}"/>
    <hyperlink ref="A30" location="'2-0022'!R1C1" display="2-0022" xr:uid="{00000000-0004-0000-0000-00002E000000}"/>
    <hyperlink ref="A47" location="'2-0046'!R1C1" display="2-0046" xr:uid="{00000000-0004-0000-0000-00002F000000}"/>
    <hyperlink ref="A64" location="'2-0067'!A1" display="2-0067" xr:uid="{00000000-0004-0000-0000-000030000000}"/>
    <hyperlink ref="A21" location="'2-0011'!A1" display="'2-0011'!A1" xr:uid="{00000000-0004-0000-0000-000031000000}"/>
  </hyperlinks>
  <printOptions horizontalCentered="1"/>
  <pageMargins left="0.118110236220472" right="0.118110236220472" top="0.55118110236220497" bottom="0.15748031496063" header="7.8740157480315001E-2" footer="7.8740157480315001E-2"/>
  <pageSetup paperSize="9" scale="56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96"/>
  <sheetViews>
    <sheetView workbookViewId="0">
      <pane xSplit="4" ySplit="29" topLeftCell="E30" activePane="bottomRight" state="frozen"/>
      <selection pane="topRight" activeCell="E1" sqref="E1"/>
      <selection pane="bottomLeft" activeCell="A31" sqref="A31"/>
      <selection pane="bottomRight" activeCell="A21" sqref="A21"/>
    </sheetView>
  </sheetViews>
  <sheetFormatPr baseColWidth="10" defaultColWidth="9.1640625" defaultRowHeight="11"/>
  <cols>
    <col min="1" max="1" width="8.33203125" style="2" customWidth="1"/>
    <col min="2" max="2" width="62.33203125" style="51" customWidth="1"/>
    <col min="3" max="4" width="13.5" style="6" customWidth="1"/>
    <col min="5" max="24" width="12.83203125" style="2" customWidth="1"/>
    <col min="25" max="26" width="13.5" style="2" customWidth="1"/>
    <col min="27" max="28" width="14.1640625" style="2" customWidth="1"/>
    <col min="29" max="29" width="10.83203125" style="2" bestFit="1" customWidth="1"/>
    <col min="30" max="16384" width="9.1640625" style="2"/>
  </cols>
  <sheetData>
    <row r="1" spans="1:29" ht="13.5" customHeight="1" thickBot="1">
      <c r="A1" s="660" t="s">
        <v>272</v>
      </c>
      <c r="B1" s="661"/>
      <c r="C1" s="661"/>
      <c r="D1" s="661"/>
      <c r="E1" s="661"/>
      <c r="F1" s="661"/>
      <c r="G1" s="661"/>
      <c r="H1" s="661"/>
      <c r="I1" s="661"/>
      <c r="J1" s="661"/>
      <c r="K1" s="661"/>
      <c r="L1" s="661"/>
      <c r="M1" s="661"/>
      <c r="N1" s="661"/>
      <c r="O1" s="661"/>
      <c r="P1" s="661"/>
      <c r="Q1" s="661"/>
      <c r="R1" s="661"/>
      <c r="S1" s="661"/>
      <c r="T1" s="661"/>
      <c r="U1" s="661"/>
      <c r="V1" s="661"/>
      <c r="W1" s="661"/>
      <c r="X1" s="661"/>
      <c r="Y1" s="661"/>
      <c r="Z1" s="661"/>
      <c r="AA1" s="662"/>
      <c r="AB1" s="332"/>
    </row>
    <row r="2" spans="1:29" s="9" customFormat="1" ht="12.75" customHeight="1">
      <c r="A2" s="663" t="s">
        <v>0</v>
      </c>
      <c r="B2" s="665" t="s">
        <v>1</v>
      </c>
      <c r="C2" s="670">
        <v>2021</v>
      </c>
      <c r="D2" s="671"/>
      <c r="E2" s="667" t="s">
        <v>2</v>
      </c>
      <c r="F2" s="668"/>
      <c r="G2" s="668"/>
      <c r="H2" s="668"/>
      <c r="I2" s="668"/>
      <c r="J2" s="668"/>
      <c r="K2" s="668"/>
      <c r="L2" s="668"/>
      <c r="M2" s="668"/>
      <c r="N2" s="668"/>
      <c r="O2" s="668"/>
      <c r="P2" s="668"/>
      <c r="Q2" s="668"/>
      <c r="R2" s="668"/>
      <c r="S2" s="668"/>
      <c r="T2" s="668"/>
      <c r="U2" s="668"/>
      <c r="V2" s="668"/>
      <c r="W2" s="668"/>
      <c r="X2" s="668"/>
      <c r="Y2" s="668"/>
      <c r="Z2" s="668"/>
      <c r="AA2" s="668"/>
      <c r="AB2" s="335"/>
    </row>
    <row r="3" spans="1:29" s="9" customFormat="1" ht="12.75" customHeight="1" thickBot="1">
      <c r="A3" s="664"/>
      <c r="B3" s="666"/>
      <c r="C3" s="672"/>
      <c r="D3" s="673"/>
      <c r="E3" s="669" t="s">
        <v>3</v>
      </c>
      <c r="F3" s="659"/>
      <c r="G3" s="659" t="s">
        <v>4</v>
      </c>
      <c r="H3" s="659"/>
      <c r="I3" s="659" t="s">
        <v>5</v>
      </c>
      <c r="J3" s="659"/>
      <c r="K3" s="659" t="s">
        <v>6</v>
      </c>
      <c r="L3" s="659"/>
      <c r="M3" s="659" t="s">
        <v>7</v>
      </c>
      <c r="N3" s="659"/>
      <c r="O3" s="659" t="s">
        <v>8</v>
      </c>
      <c r="P3" s="659"/>
      <c r="Q3" s="659" t="s">
        <v>9</v>
      </c>
      <c r="R3" s="659"/>
      <c r="S3" s="659" t="s">
        <v>10</v>
      </c>
      <c r="T3" s="659"/>
      <c r="U3" s="659" t="s">
        <v>11</v>
      </c>
      <c r="V3" s="659"/>
      <c r="W3" s="659" t="s">
        <v>12</v>
      </c>
      <c r="X3" s="659"/>
      <c r="Y3" s="659" t="s">
        <v>13</v>
      </c>
      <c r="Z3" s="659"/>
      <c r="AA3" s="659" t="s">
        <v>14</v>
      </c>
      <c r="AB3" s="659"/>
    </row>
    <row r="4" spans="1:29" ht="14" thickBot="1">
      <c r="A4" s="55"/>
      <c r="B4" s="174"/>
      <c r="C4" s="359" t="s">
        <v>261</v>
      </c>
      <c r="D4" s="359" t="s">
        <v>262</v>
      </c>
      <c r="E4" s="358" t="s">
        <v>261</v>
      </c>
      <c r="F4" s="74" t="s">
        <v>262</v>
      </c>
      <c r="G4" s="74" t="s">
        <v>261</v>
      </c>
      <c r="H4" s="74" t="s">
        <v>262</v>
      </c>
      <c r="I4" s="74" t="s">
        <v>261</v>
      </c>
      <c r="J4" s="74" t="s">
        <v>262</v>
      </c>
      <c r="K4" s="74" t="s">
        <v>261</v>
      </c>
      <c r="L4" s="74" t="s">
        <v>262</v>
      </c>
      <c r="M4" s="74" t="s">
        <v>261</v>
      </c>
      <c r="N4" s="74" t="s">
        <v>262</v>
      </c>
      <c r="O4" s="74" t="s">
        <v>261</v>
      </c>
      <c r="P4" s="74" t="s">
        <v>262</v>
      </c>
      <c r="Q4" s="74" t="s">
        <v>261</v>
      </c>
      <c r="R4" s="74" t="s">
        <v>262</v>
      </c>
      <c r="S4" s="74" t="s">
        <v>261</v>
      </c>
      <c r="T4" s="74" t="s">
        <v>262</v>
      </c>
      <c r="U4" s="74" t="s">
        <v>261</v>
      </c>
      <c r="V4" s="74" t="s">
        <v>262</v>
      </c>
      <c r="W4" s="74" t="s">
        <v>261</v>
      </c>
      <c r="X4" s="74" t="s">
        <v>262</v>
      </c>
      <c r="Y4" s="74" t="s">
        <v>261</v>
      </c>
      <c r="Z4" s="74" t="s">
        <v>262</v>
      </c>
      <c r="AA4" s="337" t="s">
        <v>261</v>
      </c>
      <c r="AB4" s="74" t="s">
        <v>262</v>
      </c>
    </row>
    <row r="5" spans="1:29" ht="15" hidden="1" thickBot="1">
      <c r="A5" s="70">
        <v>1</v>
      </c>
      <c r="B5" s="291" t="s">
        <v>15</v>
      </c>
      <c r="C5" s="360"/>
      <c r="D5" s="360"/>
      <c r="E5" s="357"/>
      <c r="F5" s="336"/>
      <c r="G5" s="336"/>
      <c r="H5" s="336"/>
      <c r="I5" s="73"/>
      <c r="J5" s="336"/>
      <c r="K5" s="73"/>
      <c r="L5" s="336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338"/>
      <c r="AB5" s="73"/>
    </row>
    <row r="6" spans="1:29" ht="16" hidden="1" thickBot="1">
      <c r="A6" s="222" t="s">
        <v>41</v>
      </c>
      <c r="B6" s="292" t="s">
        <v>48</v>
      </c>
      <c r="C6" s="315">
        <f>'1-000'!C12</f>
        <v>4000000</v>
      </c>
      <c r="D6" s="315"/>
      <c r="E6" s="310"/>
      <c r="F6" s="310"/>
      <c r="G6" s="334"/>
      <c r="H6" s="310"/>
      <c r="I6" s="334"/>
      <c r="J6" s="310"/>
      <c r="K6" s="334"/>
      <c r="L6" s="310"/>
      <c r="M6" s="334"/>
      <c r="N6" s="334"/>
      <c r="O6" s="334"/>
      <c r="P6" s="334"/>
      <c r="Q6" s="334"/>
      <c r="R6" s="334"/>
      <c r="S6" s="334"/>
      <c r="T6" s="334"/>
      <c r="U6" s="334"/>
      <c r="V6" s="334"/>
      <c r="W6" s="334"/>
      <c r="X6" s="334"/>
      <c r="Y6" s="334"/>
      <c r="Z6" s="334"/>
      <c r="AA6" s="339"/>
      <c r="AB6" s="75"/>
    </row>
    <row r="7" spans="1:29" ht="16" hidden="1" thickBot="1">
      <c r="A7" s="222" t="s">
        <v>24</v>
      </c>
      <c r="B7" s="292" t="s">
        <v>59</v>
      </c>
      <c r="C7" s="315">
        <f>SUM(E7:AA7)</f>
        <v>0</v>
      </c>
      <c r="D7" s="315"/>
      <c r="E7" s="175"/>
      <c r="F7" s="175"/>
      <c r="G7" s="72"/>
      <c r="H7" s="175"/>
      <c r="I7" s="72"/>
      <c r="J7" s="175"/>
      <c r="K7" s="72"/>
      <c r="L7" s="175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340"/>
      <c r="AB7" s="72"/>
      <c r="AC7" s="4"/>
    </row>
    <row r="8" spans="1:29" ht="16" hidden="1" thickBot="1">
      <c r="A8" s="222" t="s">
        <v>25</v>
      </c>
      <c r="B8" s="293" t="s">
        <v>43</v>
      </c>
      <c r="C8" s="315">
        <f>SUM(E8:AA8)</f>
        <v>70966236</v>
      </c>
      <c r="D8" s="315"/>
      <c r="E8" s="175">
        <f>'1-002'!L7</f>
        <v>5550000</v>
      </c>
      <c r="F8" s="175">
        <v>4366236</v>
      </c>
      <c r="G8" s="72">
        <f>'1-002'!L7</f>
        <v>5550000</v>
      </c>
      <c r="H8" s="175"/>
      <c r="I8" s="72">
        <f>'1-002'!L7</f>
        <v>5550000</v>
      </c>
      <c r="J8" s="175"/>
      <c r="K8" s="72">
        <f>'1-002'!L7</f>
        <v>5550000</v>
      </c>
      <c r="L8" s="175"/>
      <c r="M8" s="72">
        <f>'1-002'!L7</f>
        <v>5550000</v>
      </c>
      <c r="N8" s="72"/>
      <c r="O8" s="72">
        <f>'1-002'!L7</f>
        <v>5550000</v>
      </c>
      <c r="P8" s="72"/>
      <c r="Q8" s="72">
        <f>'1-002'!L7</f>
        <v>5550000</v>
      </c>
      <c r="R8" s="72"/>
      <c r="S8" s="72">
        <f>'1-002'!L7</f>
        <v>5550000</v>
      </c>
      <c r="T8" s="72"/>
      <c r="U8" s="72">
        <f>'1-002'!L7</f>
        <v>5550000</v>
      </c>
      <c r="V8" s="72"/>
      <c r="W8" s="72">
        <f>'1-002'!L7</f>
        <v>5550000</v>
      </c>
      <c r="X8" s="72"/>
      <c r="Y8" s="72">
        <f>'1-002'!L7</f>
        <v>5550000</v>
      </c>
      <c r="Z8" s="72"/>
      <c r="AA8" s="340">
        <f>'1-002'!L7</f>
        <v>5550000</v>
      </c>
      <c r="AB8" s="72"/>
      <c r="AC8" s="6"/>
    </row>
    <row r="9" spans="1:29" ht="16" hidden="1" thickBot="1">
      <c r="A9" s="222" t="s">
        <v>201</v>
      </c>
      <c r="B9" s="293" t="s">
        <v>45</v>
      </c>
      <c r="C9" s="315">
        <f>SUM(E9:AA9)</f>
        <v>3350000</v>
      </c>
      <c r="D9" s="315"/>
      <c r="E9" s="175">
        <f>'1-0021'!A8</f>
        <v>210000</v>
      </c>
      <c r="F9" s="175"/>
      <c r="G9" s="72">
        <f>'1-0021'!B8</f>
        <v>240000</v>
      </c>
      <c r="H9" s="175"/>
      <c r="I9" s="72">
        <f>'1-0021'!C8</f>
        <v>200000</v>
      </c>
      <c r="J9" s="175"/>
      <c r="K9" s="72">
        <f>'1-0021'!D8</f>
        <v>230000</v>
      </c>
      <c r="L9" s="175"/>
      <c r="M9" s="72">
        <f>'1-0021'!E8</f>
        <v>350000</v>
      </c>
      <c r="N9" s="72"/>
      <c r="O9" s="72">
        <f>'1-0021'!F8</f>
        <v>360000</v>
      </c>
      <c r="P9" s="72"/>
      <c r="Q9" s="72">
        <f>'1-0021'!G8</f>
        <v>400000</v>
      </c>
      <c r="R9" s="72"/>
      <c r="S9" s="72">
        <f>'1-0021'!H8</f>
        <v>320000</v>
      </c>
      <c r="T9" s="72"/>
      <c r="U9" s="72">
        <f>'1-0021'!I8</f>
        <v>300000</v>
      </c>
      <c r="V9" s="72"/>
      <c r="W9" s="72">
        <f>'1-0021'!J8</f>
        <v>270000</v>
      </c>
      <c r="X9" s="72"/>
      <c r="Y9" s="72">
        <f>'1-0021'!K8</f>
        <v>250000</v>
      </c>
      <c r="Z9" s="72"/>
      <c r="AA9" s="340">
        <f>'1-0021'!L8</f>
        <v>220000</v>
      </c>
      <c r="AB9" s="72"/>
      <c r="AC9" s="6"/>
    </row>
    <row r="10" spans="1:29" ht="16" hidden="1" thickBot="1">
      <c r="A10" s="222" t="s">
        <v>26</v>
      </c>
      <c r="B10" s="293" t="s">
        <v>16</v>
      </c>
      <c r="C10" s="361">
        <f>'1-003'!G9</f>
        <v>0.96</v>
      </c>
      <c r="D10" s="361"/>
      <c r="E10" s="306">
        <f>'1-003'!G9</f>
        <v>0.96</v>
      </c>
      <c r="F10" s="306"/>
      <c r="G10" s="76">
        <f>'1-003'!G9</f>
        <v>0.96</v>
      </c>
      <c r="H10" s="306"/>
      <c r="I10" s="76">
        <f>'1-003'!G9</f>
        <v>0.96</v>
      </c>
      <c r="J10" s="306"/>
      <c r="K10" s="76">
        <f>'1-003'!G9</f>
        <v>0.96</v>
      </c>
      <c r="L10" s="306"/>
      <c r="M10" s="76">
        <f>'1-003'!G9</f>
        <v>0.96</v>
      </c>
      <c r="N10" s="76"/>
      <c r="O10" s="76">
        <f>'1-003'!G9</f>
        <v>0.96</v>
      </c>
      <c r="P10" s="76"/>
      <c r="Q10" s="76">
        <f>'1-003'!G9</f>
        <v>0.96</v>
      </c>
      <c r="R10" s="76"/>
      <c r="S10" s="76">
        <f>'1-003'!G9</f>
        <v>0.96</v>
      </c>
      <c r="T10" s="76"/>
      <c r="U10" s="76">
        <f>'1-003'!G9</f>
        <v>0.96</v>
      </c>
      <c r="V10" s="76"/>
      <c r="W10" s="76">
        <f>'1-003'!G9</f>
        <v>0.96</v>
      </c>
      <c r="X10" s="76"/>
      <c r="Y10" s="76">
        <f>'1-003'!G9</f>
        <v>0.96</v>
      </c>
      <c r="Z10" s="76"/>
      <c r="AA10" s="341">
        <f>'1-003'!G9</f>
        <v>0.96</v>
      </c>
      <c r="AB10" s="76"/>
      <c r="AC10" s="6"/>
    </row>
    <row r="11" spans="1:29" ht="30" hidden="1" thickBot="1">
      <c r="A11" s="222" t="s">
        <v>27</v>
      </c>
      <c r="B11" s="293" t="s">
        <v>46</v>
      </c>
      <c r="C11" s="315">
        <f>SUM(E11:AA11)</f>
        <v>67152011.059200004</v>
      </c>
      <c r="D11" s="315"/>
      <c r="E11" s="175">
        <f t="shared" ref="E11:AA11" si="0">SUM(E8:E10)*E10</f>
        <v>5529600.9216</v>
      </c>
      <c r="F11" s="175"/>
      <c r="G11" s="72">
        <f t="shared" si="0"/>
        <v>5558400.9216</v>
      </c>
      <c r="H11" s="175"/>
      <c r="I11" s="72">
        <f t="shared" si="0"/>
        <v>5520000.9216</v>
      </c>
      <c r="J11" s="175"/>
      <c r="K11" s="72">
        <f t="shared" si="0"/>
        <v>5548800.9216</v>
      </c>
      <c r="L11" s="175"/>
      <c r="M11" s="72">
        <f t="shared" si="0"/>
        <v>5664000.9216</v>
      </c>
      <c r="N11" s="72"/>
      <c r="O11" s="72">
        <f t="shared" si="0"/>
        <v>5673600.9216</v>
      </c>
      <c r="P11" s="72"/>
      <c r="Q11" s="72">
        <f t="shared" si="0"/>
        <v>5712000.9216</v>
      </c>
      <c r="R11" s="72"/>
      <c r="S11" s="72">
        <f t="shared" si="0"/>
        <v>5635200.9216</v>
      </c>
      <c r="T11" s="72"/>
      <c r="U11" s="72">
        <f t="shared" si="0"/>
        <v>5616000.9216</v>
      </c>
      <c r="V11" s="72"/>
      <c r="W11" s="72">
        <f t="shared" si="0"/>
        <v>5587200.9216</v>
      </c>
      <c r="X11" s="72"/>
      <c r="Y11" s="72">
        <f t="shared" si="0"/>
        <v>5568000.9216</v>
      </c>
      <c r="Z11" s="72"/>
      <c r="AA11" s="340">
        <f t="shared" si="0"/>
        <v>5539200.9216</v>
      </c>
      <c r="AB11" s="72"/>
      <c r="AC11" s="6"/>
    </row>
    <row r="12" spans="1:29" s="6" customFormat="1" ht="16" hidden="1" thickBot="1">
      <c r="A12" s="222" t="s">
        <v>28</v>
      </c>
      <c r="B12" s="293" t="s">
        <v>17</v>
      </c>
      <c r="C12" s="315">
        <f>SUM(E12:AA12)</f>
        <v>480000</v>
      </c>
      <c r="D12" s="315"/>
      <c r="E12" s="307"/>
      <c r="F12" s="307"/>
      <c r="G12" s="73"/>
      <c r="H12" s="307"/>
      <c r="I12" s="73"/>
      <c r="J12" s="307"/>
      <c r="K12" s="73"/>
      <c r="L12" s="307"/>
      <c r="M12" s="220">
        <f>'1-005'!K13</f>
        <v>106666.66666666667</v>
      </c>
      <c r="N12" s="220"/>
      <c r="O12" s="220">
        <f>'1-005'!L13</f>
        <v>93333.333333333328</v>
      </c>
      <c r="P12" s="220"/>
      <c r="Q12" s="220">
        <f>'1-005'!M13</f>
        <v>80000</v>
      </c>
      <c r="R12" s="220"/>
      <c r="S12" s="220">
        <f>'1-005'!N13</f>
        <v>66666.666666666672</v>
      </c>
      <c r="T12" s="220"/>
      <c r="U12" s="220">
        <f>'1-005'!O13</f>
        <v>53333.333333333336</v>
      </c>
      <c r="V12" s="220"/>
      <c r="W12" s="220">
        <f>'1-005'!P13</f>
        <v>40000</v>
      </c>
      <c r="X12" s="220"/>
      <c r="Y12" s="220">
        <f>'1-005'!Q13</f>
        <v>26666.666666666668</v>
      </c>
      <c r="Z12" s="220"/>
      <c r="AA12" s="342">
        <f>'1-005'!R13</f>
        <v>13333.333333333334</v>
      </c>
      <c r="AB12" s="220"/>
      <c r="AC12" s="1"/>
    </row>
    <row r="13" spans="1:29" s="6" customFormat="1" ht="16" hidden="1" thickBot="1">
      <c r="A13" s="222" t="s">
        <v>29</v>
      </c>
      <c r="B13" s="294" t="s">
        <v>47</v>
      </c>
      <c r="C13" s="315" t="e">
        <f>SUM(E13:AA13)</f>
        <v>#REF!</v>
      </c>
      <c r="D13" s="315"/>
      <c r="E13" s="175">
        <f>'1-006'!B17</f>
        <v>1403500</v>
      </c>
      <c r="F13" s="175">
        <v>1500800.52</v>
      </c>
      <c r="G13" s="72">
        <f>'1-006'!B17</f>
        <v>1403500</v>
      </c>
      <c r="H13" s="175"/>
      <c r="I13" s="72" t="e">
        <f>'1-006'!B17+'1-006'!#REF!</f>
        <v>#REF!</v>
      </c>
      <c r="J13" s="175"/>
      <c r="K13" s="72">
        <f>'1-006'!B17+'1-006'!C17/4</f>
        <v>1453500</v>
      </c>
      <c r="L13" s="175"/>
      <c r="M13" s="72">
        <f>'1-006'!B17+'1-006'!C17/4</f>
        <v>1453500</v>
      </c>
      <c r="N13" s="72"/>
      <c r="O13" s="72" t="e">
        <f>'1-006'!B17+'1-006'!#REF!</f>
        <v>#REF!</v>
      </c>
      <c r="P13" s="72"/>
      <c r="Q13" s="72">
        <f>'1-006'!B17</f>
        <v>1403500</v>
      </c>
      <c r="R13" s="72"/>
      <c r="S13" s="72">
        <f>'1-006'!B17</f>
        <v>1403500</v>
      </c>
      <c r="T13" s="72"/>
      <c r="U13" s="72" t="e">
        <f>'1-006'!B17+'1-006'!#REF!</f>
        <v>#REF!</v>
      </c>
      <c r="V13" s="72"/>
      <c r="W13" s="72">
        <f>'1-006'!B17+'1-006'!C17/4</f>
        <v>1453500</v>
      </c>
      <c r="X13" s="72"/>
      <c r="Y13" s="72">
        <f>'1-006'!B17+'1-006'!C17/4</f>
        <v>1453500</v>
      </c>
      <c r="Z13" s="72"/>
      <c r="AA13" s="340" t="e">
        <f>'1-006'!B17+'1-006'!#REF!</f>
        <v>#REF!</v>
      </c>
      <c r="AB13" s="72"/>
    </row>
    <row r="14" spans="1:29" ht="16" hidden="1" thickBot="1">
      <c r="A14" s="222" t="s">
        <v>30</v>
      </c>
      <c r="B14" s="295" t="s">
        <v>18</v>
      </c>
      <c r="C14" s="315">
        <f>SUM(E14:AA14)</f>
        <v>300000</v>
      </c>
      <c r="D14" s="315"/>
      <c r="E14" s="175">
        <f>'1-007'!$G$12*1/12</f>
        <v>25000</v>
      </c>
      <c r="F14" s="175"/>
      <c r="G14" s="72">
        <f>'1-007'!$G$12*1/12</f>
        <v>25000</v>
      </c>
      <c r="H14" s="175"/>
      <c r="I14" s="72">
        <f>'1-007'!$G$12*1/12</f>
        <v>25000</v>
      </c>
      <c r="J14" s="175"/>
      <c r="K14" s="72">
        <f>'1-007'!$G$12*1/12</f>
        <v>25000</v>
      </c>
      <c r="L14" s="175"/>
      <c r="M14" s="72">
        <f>'1-007'!$G$12*1/12</f>
        <v>25000</v>
      </c>
      <c r="N14" s="72"/>
      <c r="O14" s="72">
        <f>'1-007'!$G$12*1/12</f>
        <v>25000</v>
      </c>
      <c r="P14" s="72"/>
      <c r="Q14" s="72">
        <f>'1-007'!$G$12*1/12</f>
        <v>25000</v>
      </c>
      <c r="R14" s="72"/>
      <c r="S14" s="72">
        <f>'1-007'!$G$12*1/12</f>
        <v>25000</v>
      </c>
      <c r="T14" s="72"/>
      <c r="U14" s="72">
        <f>'1-007'!$G$12*1/12</f>
        <v>25000</v>
      </c>
      <c r="V14" s="72"/>
      <c r="W14" s="72">
        <f>'1-007'!$G$12*1/12</f>
        <v>25000</v>
      </c>
      <c r="X14" s="72"/>
      <c r="Y14" s="72">
        <f>'1-007'!$G$12*1/12</f>
        <v>25000</v>
      </c>
      <c r="Z14" s="72"/>
      <c r="AA14" s="340">
        <f>'1-007'!$G$12*1/12</f>
        <v>25000</v>
      </c>
      <c r="AB14" s="72"/>
    </row>
    <row r="15" spans="1:29" ht="16" hidden="1" thickBot="1">
      <c r="A15" s="222" t="s">
        <v>31</v>
      </c>
      <c r="B15" s="295" t="s">
        <v>39</v>
      </c>
      <c r="C15" s="315">
        <f>SUM(E15:AA15)</f>
        <v>800000</v>
      </c>
      <c r="D15" s="315"/>
      <c r="E15" s="175"/>
      <c r="F15" s="175"/>
      <c r="G15" s="72"/>
      <c r="H15" s="175"/>
      <c r="I15" s="72"/>
      <c r="J15" s="175"/>
      <c r="K15" s="72"/>
      <c r="L15" s="175"/>
      <c r="M15" s="72"/>
      <c r="N15" s="72"/>
      <c r="O15" s="72"/>
      <c r="P15" s="72"/>
      <c r="Q15" s="72"/>
      <c r="R15" s="72"/>
      <c r="S15" s="72">
        <f>'1-008'!I17</f>
        <v>0</v>
      </c>
      <c r="T15" s="72"/>
      <c r="U15" s="72">
        <f>'1-008'!J17</f>
        <v>800000</v>
      </c>
      <c r="V15" s="72"/>
      <c r="W15" s="72">
        <f>'1-008'!K17</f>
        <v>0</v>
      </c>
      <c r="X15" s="72"/>
      <c r="Y15" s="72"/>
      <c r="Z15" s="72"/>
      <c r="AA15" s="340"/>
      <c r="AB15" s="72"/>
    </row>
    <row r="16" spans="1:29" ht="15" hidden="1" thickBot="1">
      <c r="A16" s="74"/>
      <c r="B16" s="296" t="s">
        <v>54</v>
      </c>
      <c r="C16" s="314" t="e">
        <f>SUM(C11:C15)</f>
        <v>#REF!</v>
      </c>
      <c r="D16" s="314"/>
      <c r="E16" s="290">
        <f>SUM(E11:E15)</f>
        <v>6958100.9216</v>
      </c>
      <c r="F16" s="290">
        <f>SUM(F8:F15)</f>
        <v>5867036.5199999996</v>
      </c>
      <c r="G16" s="101">
        <f t="shared" ref="G16:AA16" si="1">SUM(G11:G15)</f>
        <v>6986900.9216</v>
      </c>
      <c r="H16" s="290"/>
      <c r="I16" s="101" t="e">
        <f t="shared" si="1"/>
        <v>#REF!</v>
      </c>
      <c r="J16" s="290"/>
      <c r="K16" s="101">
        <f t="shared" si="1"/>
        <v>7027300.9216</v>
      </c>
      <c r="L16" s="290"/>
      <c r="M16" s="101">
        <f t="shared" si="1"/>
        <v>7249167.588266667</v>
      </c>
      <c r="N16" s="101"/>
      <c r="O16" s="101" t="e">
        <f t="shared" si="1"/>
        <v>#REF!</v>
      </c>
      <c r="P16" s="101"/>
      <c r="Q16" s="101">
        <f t="shared" si="1"/>
        <v>7220500.9216</v>
      </c>
      <c r="R16" s="101"/>
      <c r="S16" s="101">
        <f t="shared" si="1"/>
        <v>7130367.588266667</v>
      </c>
      <c r="T16" s="101"/>
      <c r="U16" s="101" t="e">
        <f t="shared" si="1"/>
        <v>#REF!</v>
      </c>
      <c r="V16" s="101"/>
      <c r="W16" s="101">
        <f t="shared" si="1"/>
        <v>7105700.9216</v>
      </c>
      <c r="X16" s="101"/>
      <c r="Y16" s="101">
        <f t="shared" si="1"/>
        <v>7073167.588266667</v>
      </c>
      <c r="Z16" s="101"/>
      <c r="AA16" s="343" t="e">
        <f t="shared" si="1"/>
        <v>#REF!</v>
      </c>
      <c r="AB16" s="101"/>
    </row>
    <row r="17" spans="1:29" ht="15" hidden="1" thickBot="1">
      <c r="A17" s="71"/>
      <c r="B17" s="297" t="s">
        <v>232</v>
      </c>
      <c r="C17" s="315" t="e">
        <f>SUM(C16+C6)</f>
        <v>#REF!</v>
      </c>
      <c r="D17" s="315"/>
      <c r="E17" s="286">
        <f>SUM(E16+E6)</f>
        <v>6958100.9216</v>
      </c>
      <c r="F17" s="286"/>
      <c r="G17" s="72"/>
      <c r="H17" s="286"/>
      <c r="I17" s="72"/>
      <c r="J17" s="286"/>
      <c r="K17" s="72"/>
      <c r="L17" s="286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340"/>
      <c r="AB17" s="72"/>
    </row>
    <row r="18" spans="1:29" ht="15" hidden="1" thickBot="1">
      <c r="A18" s="71">
        <v>2</v>
      </c>
      <c r="B18" s="297" t="s">
        <v>19</v>
      </c>
      <c r="C18" s="315"/>
      <c r="D18" s="315"/>
      <c r="E18" s="175"/>
      <c r="F18" s="175"/>
      <c r="G18" s="72"/>
      <c r="H18" s="175"/>
      <c r="I18" s="72"/>
      <c r="J18" s="175"/>
      <c r="K18" s="73"/>
      <c r="L18" s="175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338"/>
      <c r="AB18" s="73"/>
    </row>
    <row r="19" spans="1:29" s="45" customFormat="1" ht="18" thickBot="1">
      <c r="A19" s="284" t="s">
        <v>42</v>
      </c>
      <c r="B19" s="298" t="s">
        <v>52</v>
      </c>
      <c r="C19" s="314" t="e">
        <f>SUM(E19,G19,I19,K19,M19,O19,Q19,S19,U19,W19,Y19,AA19)</f>
        <v>#REF!</v>
      </c>
      <c r="D19" s="314">
        <f>SUM(F19,H19,J19,L19,N19,P19,R19,T19,V19,X19,Z19,AB19)</f>
        <v>30000</v>
      </c>
      <c r="E19" s="308" t="e">
        <f t="shared" ref="E19:Z19" si="2">SUM(E20,E34,E40,E44,E54,E55,E56,E62,E67,E71,E72,E73,E77,E82)</f>
        <v>#REF!</v>
      </c>
      <c r="F19" s="308">
        <f t="shared" si="2"/>
        <v>0</v>
      </c>
      <c r="G19" s="165" t="e">
        <f t="shared" si="2"/>
        <v>#REF!</v>
      </c>
      <c r="H19" s="308">
        <f t="shared" si="2"/>
        <v>0</v>
      </c>
      <c r="I19" s="165" t="e">
        <f t="shared" si="2"/>
        <v>#REF!</v>
      </c>
      <c r="J19" s="308">
        <f t="shared" si="2"/>
        <v>0</v>
      </c>
      <c r="K19" s="165" t="e">
        <f t="shared" si="2"/>
        <v>#REF!</v>
      </c>
      <c r="L19" s="165">
        <f t="shared" si="2"/>
        <v>0</v>
      </c>
      <c r="M19" s="165" t="e">
        <f t="shared" si="2"/>
        <v>#REF!</v>
      </c>
      <c r="N19" s="165">
        <f t="shared" si="2"/>
        <v>0</v>
      </c>
      <c r="O19" s="165" t="e">
        <f t="shared" si="2"/>
        <v>#REF!</v>
      </c>
      <c r="P19" s="165">
        <f t="shared" si="2"/>
        <v>0</v>
      </c>
      <c r="Q19" s="165" t="e">
        <f t="shared" si="2"/>
        <v>#REF!</v>
      </c>
      <c r="R19" s="165">
        <f t="shared" si="2"/>
        <v>30000</v>
      </c>
      <c r="S19" s="165" t="e">
        <f t="shared" si="2"/>
        <v>#REF!</v>
      </c>
      <c r="T19" s="165">
        <f t="shared" si="2"/>
        <v>0</v>
      </c>
      <c r="U19" s="165" t="e">
        <f t="shared" si="2"/>
        <v>#REF!</v>
      </c>
      <c r="V19" s="165">
        <f t="shared" si="2"/>
        <v>0</v>
      </c>
      <c r="W19" s="165" t="e">
        <f t="shared" si="2"/>
        <v>#REF!</v>
      </c>
      <c r="X19" s="165">
        <f t="shared" si="2"/>
        <v>0</v>
      </c>
      <c r="Y19" s="165" t="e">
        <f t="shared" si="2"/>
        <v>#REF!</v>
      </c>
      <c r="Z19" s="165">
        <f t="shared" si="2"/>
        <v>0</v>
      </c>
      <c r="AA19" s="344" t="e">
        <f>SUM(AA20,AA34,AA40,AA44,AA54,AA55,AA56,AA62,AA67,AA71,AA72,AA73,AA77,AA82,AA83)</f>
        <v>#REF!</v>
      </c>
      <c r="AB19" s="344">
        <f>SUM(AB20,AB34,AB40,AB44,AB54,AB55,AB56,AB62,AB67,AB71,AB72,AB73,AB77,AB82,AB83)</f>
        <v>0</v>
      </c>
      <c r="AC19" s="6"/>
    </row>
    <row r="20" spans="1:29" s="117" customFormat="1" ht="15" thickBot="1">
      <c r="A20" s="115"/>
      <c r="B20" s="299" t="str">
        <f>'2-001'!A3</f>
        <v xml:space="preserve"> Расходы на содержание УК</v>
      </c>
      <c r="C20" s="314">
        <f>SUM(E20,G20,I20,K20,M20,O20,Q20,S20,U20,W20,Y20,AA20)</f>
        <v>58033096.200000018</v>
      </c>
      <c r="D20" s="314">
        <f>SUM(F20,H20,J20,L20,N20,P20,R20,T20,V20,X20,Z20,AB20)</f>
        <v>0</v>
      </c>
      <c r="E20" s="309">
        <f t="shared" ref="E20:Z20" si="3">SUM(E21:E33)</f>
        <v>5214951.79</v>
      </c>
      <c r="F20" s="309">
        <f t="shared" si="3"/>
        <v>0</v>
      </c>
      <c r="G20" s="116">
        <f t="shared" si="3"/>
        <v>5031511.79</v>
      </c>
      <c r="H20" s="309">
        <f t="shared" si="3"/>
        <v>0</v>
      </c>
      <c r="I20" s="116">
        <f t="shared" si="3"/>
        <v>4910211.79</v>
      </c>
      <c r="J20" s="309">
        <f t="shared" si="3"/>
        <v>0</v>
      </c>
      <c r="K20" s="116">
        <f t="shared" si="3"/>
        <v>4842151.79</v>
      </c>
      <c r="L20" s="116">
        <f t="shared" si="3"/>
        <v>0</v>
      </c>
      <c r="M20" s="116">
        <f t="shared" si="3"/>
        <v>4726381.1300000008</v>
      </c>
      <c r="N20" s="116">
        <f t="shared" si="3"/>
        <v>0</v>
      </c>
      <c r="O20" s="116">
        <f t="shared" si="3"/>
        <v>4669341.1300000008</v>
      </c>
      <c r="P20" s="116">
        <f t="shared" si="3"/>
        <v>0</v>
      </c>
      <c r="Q20" s="116">
        <f t="shared" si="3"/>
        <v>4814981.1300000008</v>
      </c>
      <c r="R20" s="116">
        <f t="shared" si="3"/>
        <v>0</v>
      </c>
      <c r="S20" s="116">
        <f t="shared" si="3"/>
        <v>4660281.1300000008</v>
      </c>
      <c r="T20" s="116">
        <f t="shared" si="3"/>
        <v>0</v>
      </c>
      <c r="U20" s="116">
        <f t="shared" si="3"/>
        <v>4678281.1300000008</v>
      </c>
      <c r="V20" s="116">
        <f t="shared" si="3"/>
        <v>0</v>
      </c>
      <c r="W20" s="116">
        <f t="shared" si="3"/>
        <v>4862081.1300000008</v>
      </c>
      <c r="X20" s="116">
        <f t="shared" si="3"/>
        <v>0</v>
      </c>
      <c r="Y20" s="116">
        <f t="shared" si="3"/>
        <v>4700341.1300000008</v>
      </c>
      <c r="Z20" s="116">
        <f t="shared" si="3"/>
        <v>0</v>
      </c>
      <c r="AA20" s="345">
        <f>SUM(AA21:AA33)</f>
        <v>4922581.1300000008</v>
      </c>
      <c r="AB20" s="345">
        <f>SUM(AB21:AB33)</f>
        <v>0</v>
      </c>
    </row>
    <row r="21" spans="1:29" ht="16" thickBot="1">
      <c r="A21" s="224" t="s">
        <v>141</v>
      </c>
      <c r="B21" s="300" t="str">
        <f>'2-001'!A4</f>
        <v>Выплата заработной платы ( в т. ч. НДФЛ  )</v>
      </c>
      <c r="C21" s="315">
        <f t="shared" ref="C21:C77" si="4">SUM(E21,G21,I21,K21,M21,O21,Q21,S21,U21,W21,Y21,AA21)</f>
        <v>38426140</v>
      </c>
      <c r="D21" s="315">
        <f t="shared" ref="D21:D77" si="5">SUM(F21,H21,J21,L21,N21,P21,R21,T21,V21,X21,Z21,AB21)</f>
        <v>0</v>
      </c>
      <c r="E21" s="310">
        <f>'2-0011'!B7</f>
        <v>3515345</v>
      </c>
      <c r="F21" s="310"/>
      <c r="G21" s="310">
        <f>'2-0011'!C7</f>
        <v>3295345</v>
      </c>
      <c r="H21" s="310"/>
      <c r="I21" s="310">
        <f>'2-0011'!D7</f>
        <v>3145345</v>
      </c>
      <c r="J21" s="310"/>
      <c r="K21" s="310">
        <f>'2-0011'!E7</f>
        <v>3115345</v>
      </c>
      <c r="L21" s="310"/>
      <c r="M21" s="310">
        <f>'2-0011'!F7</f>
        <v>3205345</v>
      </c>
      <c r="N21" s="310"/>
      <c r="O21" s="310">
        <f>'2-0011'!G7</f>
        <v>3189345</v>
      </c>
      <c r="P21" s="310"/>
      <c r="Q21" s="310">
        <f>'2-0011'!H7</f>
        <v>3159345</v>
      </c>
      <c r="R21" s="310"/>
      <c r="S21" s="310">
        <f>'2-0011'!I7</f>
        <v>3159345</v>
      </c>
      <c r="T21" s="310"/>
      <c r="U21" s="310">
        <f>'2-0011'!J7</f>
        <v>3115345</v>
      </c>
      <c r="V21" s="310"/>
      <c r="W21" s="310">
        <f>'2-0011'!K7</f>
        <v>3115345</v>
      </c>
      <c r="X21" s="310"/>
      <c r="Y21" s="310">
        <f>'2-0011'!L7</f>
        <v>3145345</v>
      </c>
      <c r="Z21" s="310"/>
      <c r="AA21" s="346">
        <f>'2-0011'!M7</f>
        <v>3265345</v>
      </c>
      <c r="AB21" s="72"/>
    </row>
    <row r="22" spans="1:29" ht="16" thickBot="1">
      <c r="A22" s="224" t="s">
        <v>142</v>
      </c>
      <c r="B22" s="173" t="str">
        <f>'2-001'!A5</f>
        <v>Страховые взносы с ФОТ</v>
      </c>
      <c r="C22" s="315">
        <f t="shared" si="4"/>
        <v>11536152.359999999</v>
      </c>
      <c r="D22" s="315">
        <f t="shared" si="5"/>
        <v>0</v>
      </c>
      <c r="E22" s="175">
        <f>'2-0012'!C6</f>
        <v>1060251.03</v>
      </c>
      <c r="F22" s="175"/>
      <c r="G22" s="72">
        <f>'2-0012'!D6</f>
        <v>993811.02999999991</v>
      </c>
      <c r="H22" s="175"/>
      <c r="I22" s="72">
        <f>'2-0012'!E6</f>
        <v>948511.03</v>
      </c>
      <c r="J22" s="175"/>
      <c r="K22" s="72">
        <f>'2-0012'!F6</f>
        <v>939451.03</v>
      </c>
      <c r="L22" s="175"/>
      <c r="M22" s="72">
        <f>'2-0012'!G6</f>
        <v>954551.03</v>
      </c>
      <c r="N22" s="72"/>
      <c r="O22" s="72">
        <f>'2-0012'!H6</f>
        <v>948511.03</v>
      </c>
      <c r="P22" s="72"/>
      <c r="Q22" s="72">
        <f>'2-0012'!I6</f>
        <v>939451.03</v>
      </c>
      <c r="R22" s="72"/>
      <c r="S22" s="72">
        <f>'2-0012'!J6</f>
        <v>939451.03</v>
      </c>
      <c r="T22" s="72"/>
      <c r="U22" s="72">
        <f>'2-0012'!K6</f>
        <v>939451.03</v>
      </c>
      <c r="V22" s="72"/>
      <c r="W22" s="72">
        <f>'2-0012'!L6</f>
        <v>939451.03</v>
      </c>
      <c r="X22" s="72"/>
      <c r="Y22" s="72">
        <f>'2-0012'!M6</f>
        <v>948511.03</v>
      </c>
      <c r="Z22" s="72"/>
      <c r="AA22" s="340">
        <f>'2-0012'!N6</f>
        <v>984751.02999999991</v>
      </c>
      <c r="AB22" s="72"/>
    </row>
    <row r="23" spans="1:29" ht="16" thickBot="1">
      <c r="A23" s="224" t="s">
        <v>143</v>
      </c>
      <c r="B23" s="173" t="str">
        <f>'2-0013'!A8</f>
        <v>Консультационные и информационные услуги</v>
      </c>
      <c r="C23" s="315">
        <f t="shared" si="4"/>
        <v>242500</v>
      </c>
      <c r="D23" s="315">
        <f t="shared" si="5"/>
        <v>0</v>
      </c>
      <c r="E23" s="175">
        <f>'2-0013'!C8</f>
        <v>0</v>
      </c>
      <c r="F23" s="175"/>
      <c r="G23" s="72">
        <f>'2-0013'!D8</f>
        <v>145000</v>
      </c>
      <c r="H23" s="175"/>
      <c r="I23" s="72">
        <f>'2-0013'!E8</f>
        <v>0</v>
      </c>
      <c r="J23" s="175"/>
      <c r="K23" s="72">
        <f>'2-0013'!F8</f>
        <v>0</v>
      </c>
      <c r="L23" s="175"/>
      <c r="M23" s="72">
        <f>'2-0013'!G8</f>
        <v>0</v>
      </c>
      <c r="N23" s="72"/>
      <c r="O23" s="72">
        <f>'2-0013'!H8</f>
        <v>0</v>
      </c>
      <c r="P23" s="72"/>
      <c r="Q23" s="72">
        <f>'2-0013'!I8</f>
        <v>13700</v>
      </c>
      <c r="R23" s="72"/>
      <c r="S23" s="72">
        <f>'2-0013'!J8</f>
        <v>55000</v>
      </c>
      <c r="T23" s="72"/>
      <c r="U23" s="72">
        <f>'2-0013'!K8</f>
        <v>0</v>
      </c>
      <c r="V23" s="72"/>
      <c r="W23" s="72">
        <f>'2-0013'!L8</f>
        <v>7800</v>
      </c>
      <c r="X23" s="72"/>
      <c r="Y23" s="72">
        <f>'2-0013'!M8</f>
        <v>0</v>
      </c>
      <c r="Z23" s="72"/>
      <c r="AA23" s="340">
        <f>'2-0013'!N8</f>
        <v>21000</v>
      </c>
      <c r="AB23" s="72"/>
    </row>
    <row r="24" spans="1:29" ht="16" thickBot="1">
      <c r="A24" s="224" t="s">
        <v>144</v>
      </c>
      <c r="B24" s="173" t="str">
        <f>'2-0014'!A5</f>
        <v xml:space="preserve">Обслуживание компьютерного оборудования </v>
      </c>
      <c r="C24" s="315">
        <f t="shared" si="4"/>
        <v>672000</v>
      </c>
      <c r="D24" s="315">
        <f t="shared" si="5"/>
        <v>0</v>
      </c>
      <c r="E24" s="175">
        <f>'2-0014'!C5</f>
        <v>62000</v>
      </c>
      <c r="F24" s="175"/>
      <c r="G24" s="72">
        <f>'2-0014'!D5</f>
        <v>50000</v>
      </c>
      <c r="H24" s="175"/>
      <c r="I24" s="72">
        <f>'2-0014'!E5</f>
        <v>62000</v>
      </c>
      <c r="J24" s="175"/>
      <c r="K24" s="72">
        <f>'2-0014'!F5</f>
        <v>50000</v>
      </c>
      <c r="L24" s="175"/>
      <c r="M24" s="72">
        <f>'2-0014'!G5</f>
        <v>62000</v>
      </c>
      <c r="N24" s="72"/>
      <c r="O24" s="72">
        <f>'2-0014'!H5</f>
        <v>50000</v>
      </c>
      <c r="P24" s="72"/>
      <c r="Q24" s="72">
        <f>'2-0014'!I5</f>
        <v>62000</v>
      </c>
      <c r="R24" s="72"/>
      <c r="S24" s="72">
        <f>'2-0014'!J5</f>
        <v>50000</v>
      </c>
      <c r="T24" s="72"/>
      <c r="U24" s="72">
        <f>'2-0014'!K5</f>
        <v>62000</v>
      </c>
      <c r="V24" s="72"/>
      <c r="W24" s="72">
        <f>'2-0014'!L5</f>
        <v>50000</v>
      </c>
      <c r="X24" s="72"/>
      <c r="Y24" s="72">
        <f>'2-0014'!M5</f>
        <v>62000</v>
      </c>
      <c r="Z24" s="72"/>
      <c r="AA24" s="340">
        <f>'2-0014'!N5</f>
        <v>50000</v>
      </c>
      <c r="AB24" s="72"/>
    </row>
    <row r="25" spans="1:29" s="6" customFormat="1" ht="16" thickBot="1">
      <c r="A25" s="284" t="s">
        <v>145</v>
      </c>
      <c r="B25" s="365" t="str">
        <f>'2-0015'!A5</f>
        <v>Хозяйственные расходы (канцтовары, хозтовары, ремонт помещений)</v>
      </c>
      <c r="C25" s="315">
        <f t="shared" si="4"/>
        <v>180000</v>
      </c>
      <c r="D25" s="315">
        <f t="shared" si="5"/>
        <v>0</v>
      </c>
      <c r="E25" s="366">
        <f>'2-0015'!C5</f>
        <v>15000</v>
      </c>
      <c r="F25" s="366"/>
      <c r="G25" s="367">
        <f>'2-0015'!D5</f>
        <v>15000</v>
      </c>
      <c r="H25" s="366"/>
      <c r="I25" s="367">
        <f>'2-0015'!E5</f>
        <v>15000</v>
      </c>
      <c r="J25" s="366"/>
      <c r="K25" s="367">
        <f>'2-0015'!F5</f>
        <v>15000</v>
      </c>
      <c r="L25" s="366"/>
      <c r="M25" s="367">
        <f>'2-0015'!G5</f>
        <v>15000</v>
      </c>
      <c r="N25" s="367"/>
      <c r="O25" s="367">
        <f>'2-0015'!H5</f>
        <v>15000</v>
      </c>
      <c r="P25" s="367"/>
      <c r="Q25" s="367">
        <f>'2-0015'!I5</f>
        <v>15000</v>
      </c>
      <c r="R25" s="367"/>
      <c r="S25" s="367">
        <f>'2-0015'!J5</f>
        <v>15000</v>
      </c>
      <c r="T25" s="367"/>
      <c r="U25" s="367">
        <f>'2-0015'!K5</f>
        <v>15000</v>
      </c>
      <c r="V25" s="367"/>
      <c r="W25" s="367">
        <f>'2-0015'!L5</f>
        <v>15000</v>
      </c>
      <c r="X25" s="367"/>
      <c r="Y25" s="367">
        <f>'2-0015'!M5</f>
        <v>15000</v>
      </c>
      <c r="Z25" s="367"/>
      <c r="AA25" s="368">
        <f>'2-0015'!N5</f>
        <v>15000</v>
      </c>
      <c r="AB25" s="367"/>
    </row>
    <row r="26" spans="1:29" s="6" customFormat="1" ht="16" thickBot="1">
      <c r="A26" s="284" t="s">
        <v>146</v>
      </c>
      <c r="B26" s="365" t="str">
        <f>'2-0016'!A9</f>
        <v xml:space="preserve">Аренда помещений </v>
      </c>
      <c r="C26" s="315">
        <f t="shared" si="4"/>
        <v>2676247.12</v>
      </c>
      <c r="D26" s="315">
        <f t="shared" si="5"/>
        <v>0</v>
      </c>
      <c r="E26" s="366">
        <f>'2-0016'!C9</f>
        <v>216924.38</v>
      </c>
      <c r="F26" s="366"/>
      <c r="G26" s="366">
        <f>'2-0016'!D9</f>
        <v>216924.38</v>
      </c>
      <c r="H26" s="366"/>
      <c r="I26" s="366">
        <f>'2-0016'!E9</f>
        <v>216924.38</v>
      </c>
      <c r="J26" s="366"/>
      <c r="K26" s="366">
        <f>'2-0016'!F9</f>
        <v>216924.38</v>
      </c>
      <c r="L26" s="366"/>
      <c r="M26" s="366">
        <f>'2-0016'!G9</f>
        <v>226068.7</v>
      </c>
      <c r="N26" s="367"/>
      <c r="O26" s="366">
        <f>'2-0016'!H9</f>
        <v>226068.7</v>
      </c>
      <c r="P26" s="367"/>
      <c r="Q26" s="366">
        <f>'2-0016'!I9</f>
        <v>226068.7</v>
      </c>
      <c r="R26" s="367"/>
      <c r="S26" s="367">
        <f>'2-0016'!J9</f>
        <v>226068.7</v>
      </c>
      <c r="T26" s="367"/>
      <c r="U26" s="367">
        <f>'2-0016'!K9</f>
        <v>226068.7</v>
      </c>
      <c r="V26" s="367"/>
      <c r="W26" s="367">
        <f>'2-0016'!L9</f>
        <v>226068.7</v>
      </c>
      <c r="X26" s="367"/>
      <c r="Y26" s="367">
        <f>'2-0016'!M9</f>
        <v>226068.7</v>
      </c>
      <c r="Z26" s="367"/>
      <c r="AA26" s="368">
        <f>'2-0016'!N9</f>
        <v>226068.7</v>
      </c>
      <c r="AB26" s="367"/>
    </row>
    <row r="27" spans="1:29" ht="16" thickBot="1">
      <c r="A27" s="224" t="s">
        <v>147</v>
      </c>
      <c r="B27" s="173" t="str">
        <f>'2-0017'!A7</f>
        <v>Коммунальные расходы</v>
      </c>
      <c r="C27" s="315">
        <f t="shared" si="4"/>
        <v>1258772</v>
      </c>
      <c r="D27" s="315">
        <f t="shared" si="5"/>
        <v>0</v>
      </c>
      <c r="E27" s="175">
        <f>'2-0017'!C7</f>
        <v>155731</v>
      </c>
      <c r="F27" s="175"/>
      <c r="G27" s="72">
        <f>'2-0017'!D7</f>
        <v>135731</v>
      </c>
      <c r="H27" s="175"/>
      <c r="I27" s="72">
        <f>'2-0017'!E7</f>
        <v>135731</v>
      </c>
      <c r="J27" s="175"/>
      <c r="K27" s="72">
        <f>'2-0017'!F7</f>
        <v>125731</v>
      </c>
      <c r="L27" s="175"/>
      <c r="M27" s="72">
        <f>'2-0017'!G7</f>
        <v>95731</v>
      </c>
      <c r="N27" s="72"/>
      <c r="O27" s="72">
        <f>'2-0017'!H7</f>
        <v>32731</v>
      </c>
      <c r="P27" s="72"/>
      <c r="Q27" s="72">
        <f>'2-0017'!I7</f>
        <v>31731</v>
      </c>
      <c r="R27" s="72"/>
      <c r="S27" s="72">
        <f>'2-0017'!J7</f>
        <v>32731</v>
      </c>
      <c r="T27" s="72"/>
      <c r="U27" s="72">
        <f>'2-0017'!K7</f>
        <v>95731</v>
      </c>
      <c r="V27" s="72"/>
      <c r="W27" s="72">
        <f>'2-0017'!L7</f>
        <v>125731</v>
      </c>
      <c r="X27" s="72"/>
      <c r="Y27" s="72">
        <f>'2-0017'!M7</f>
        <v>135731</v>
      </c>
      <c r="Z27" s="72"/>
      <c r="AA27" s="340">
        <f>'2-0017'!N7</f>
        <v>155731</v>
      </c>
      <c r="AB27" s="72"/>
    </row>
    <row r="28" spans="1:29" s="6" customFormat="1" ht="16" thickBot="1">
      <c r="A28" s="224" t="s">
        <v>148</v>
      </c>
      <c r="B28" s="173" t="str">
        <f>'2-0018'!A6</f>
        <v>Услуги связи, интернет и почтовые услуги</v>
      </c>
      <c r="C28" s="315">
        <f t="shared" si="4"/>
        <v>180000</v>
      </c>
      <c r="D28" s="315">
        <f t="shared" si="5"/>
        <v>0</v>
      </c>
      <c r="E28" s="175">
        <f>'2-0018'!C6</f>
        <v>15000</v>
      </c>
      <c r="F28" s="175"/>
      <c r="G28" s="72">
        <f>'2-0018'!D6</f>
        <v>15000</v>
      </c>
      <c r="H28" s="175"/>
      <c r="I28" s="72">
        <f>'2-0018'!E6</f>
        <v>15000</v>
      </c>
      <c r="J28" s="175"/>
      <c r="K28" s="72">
        <f>'2-0018'!F6</f>
        <v>15000</v>
      </c>
      <c r="L28" s="175"/>
      <c r="M28" s="72">
        <f>'2-0018'!G6</f>
        <v>15000</v>
      </c>
      <c r="N28" s="72"/>
      <c r="O28" s="72">
        <f>'2-0018'!H6</f>
        <v>15000</v>
      </c>
      <c r="P28" s="72"/>
      <c r="Q28" s="72">
        <f>'2-0018'!I6</f>
        <v>15000</v>
      </c>
      <c r="R28" s="72"/>
      <c r="S28" s="72">
        <f>'2-0018'!J6</f>
        <v>15000</v>
      </c>
      <c r="T28" s="72"/>
      <c r="U28" s="72">
        <f>'2-0018'!K6</f>
        <v>15000</v>
      </c>
      <c r="V28" s="72"/>
      <c r="W28" s="72">
        <f>'2-0018'!L6</f>
        <v>15000</v>
      </c>
      <c r="X28" s="72"/>
      <c r="Y28" s="72">
        <f>'2-0018'!M6</f>
        <v>15000</v>
      </c>
      <c r="Z28" s="72"/>
      <c r="AA28" s="340">
        <f>'2-0018'!N6</f>
        <v>15000</v>
      </c>
      <c r="AB28" s="72"/>
    </row>
    <row r="29" spans="1:29" ht="16" thickBot="1">
      <c r="A29" s="224" t="s">
        <v>149</v>
      </c>
      <c r="B29" s="173" t="str">
        <f>'2-0019'!A7</f>
        <v>Услуги банков</v>
      </c>
      <c r="C29" s="315">
        <f t="shared" si="4"/>
        <v>840000</v>
      </c>
      <c r="D29" s="315">
        <f t="shared" si="5"/>
        <v>0</v>
      </c>
      <c r="E29" s="175">
        <f>'2-0019'!C7</f>
        <v>70000</v>
      </c>
      <c r="F29" s="175"/>
      <c r="G29" s="72">
        <f>'2-0019'!D7</f>
        <v>70000</v>
      </c>
      <c r="H29" s="175"/>
      <c r="I29" s="72">
        <f>'2-0019'!E7</f>
        <v>70000</v>
      </c>
      <c r="J29" s="175"/>
      <c r="K29" s="72">
        <f>'2-0019'!F7</f>
        <v>70000</v>
      </c>
      <c r="L29" s="175"/>
      <c r="M29" s="72">
        <f>'2-0019'!G7</f>
        <v>70000</v>
      </c>
      <c r="N29" s="72"/>
      <c r="O29" s="72">
        <f>'2-0019'!H7</f>
        <v>70000</v>
      </c>
      <c r="P29" s="72"/>
      <c r="Q29" s="72">
        <f>'2-0019'!I7</f>
        <v>70000</v>
      </c>
      <c r="R29" s="72"/>
      <c r="S29" s="72">
        <f>'2-0019'!J7</f>
        <v>70000</v>
      </c>
      <c r="T29" s="72"/>
      <c r="U29" s="72">
        <f>'2-0019'!K7</f>
        <v>70000</v>
      </c>
      <c r="V29" s="72"/>
      <c r="W29" s="72">
        <f>'2-0019'!L7</f>
        <v>70000</v>
      </c>
      <c r="X29" s="72"/>
      <c r="Y29" s="72">
        <f>'2-0019'!M7</f>
        <v>70000</v>
      </c>
      <c r="Z29" s="72"/>
      <c r="AA29" s="340">
        <f>'2-0019'!N7</f>
        <v>70000</v>
      </c>
      <c r="AB29" s="72"/>
    </row>
    <row r="30" spans="1:29" s="6" customFormat="1" ht="16" thickBot="1">
      <c r="A30" s="284" t="s">
        <v>151</v>
      </c>
      <c r="B30" s="365" t="str">
        <f>'2-0021'!A8</f>
        <v>Расходы на программное обеспечение</v>
      </c>
      <c r="C30" s="315">
        <f t="shared" si="4"/>
        <v>331000</v>
      </c>
      <c r="D30" s="315">
        <f t="shared" si="5"/>
        <v>0</v>
      </c>
      <c r="E30" s="366">
        <f>'2-0021'!C8</f>
        <v>40000</v>
      </c>
      <c r="F30" s="366"/>
      <c r="G30" s="367">
        <f>'2-0021'!D8</f>
        <v>15000</v>
      </c>
      <c r="H30" s="366"/>
      <c r="I30" s="367">
        <f>'2-0021'!E8</f>
        <v>37000</v>
      </c>
      <c r="J30" s="366"/>
      <c r="K30" s="367">
        <f>'2-0021'!F8</f>
        <v>15000</v>
      </c>
      <c r="L30" s="366"/>
      <c r="M30" s="367">
        <f>'2-0021'!G8</f>
        <v>15000</v>
      </c>
      <c r="N30" s="367"/>
      <c r="O30" s="367">
        <f>'2-0021'!H8</f>
        <v>40000</v>
      </c>
      <c r="P30" s="367"/>
      <c r="Q30" s="367">
        <f>'2-0021'!I8</f>
        <v>15000</v>
      </c>
      <c r="R30" s="367"/>
      <c r="S30" s="367">
        <f>'2-0021'!J8</f>
        <v>15000</v>
      </c>
      <c r="T30" s="367"/>
      <c r="U30" s="367">
        <f>'2-0021'!K8</f>
        <v>72000</v>
      </c>
      <c r="V30" s="367"/>
      <c r="W30" s="367">
        <f>'2-0021'!L8</f>
        <v>15000</v>
      </c>
      <c r="X30" s="367"/>
      <c r="Y30" s="367">
        <f>'2-0021'!M8</f>
        <v>15000</v>
      </c>
      <c r="Z30" s="367"/>
      <c r="AA30" s="368">
        <f>'2-0021'!N8</f>
        <v>37000</v>
      </c>
      <c r="AB30" s="367"/>
    </row>
    <row r="31" spans="1:29" ht="16" thickBot="1">
      <c r="A31" s="224" t="s">
        <v>152</v>
      </c>
      <c r="B31" s="173" t="str">
        <f>'2-0022'!A7</f>
        <v xml:space="preserve">Юридические услуги </v>
      </c>
      <c r="C31" s="315">
        <f t="shared" si="4"/>
        <v>150000</v>
      </c>
      <c r="D31" s="315">
        <f t="shared" si="5"/>
        <v>0</v>
      </c>
      <c r="E31" s="175">
        <f>'2-0022'!C7</f>
        <v>5000</v>
      </c>
      <c r="F31" s="175"/>
      <c r="G31" s="72">
        <f>'2-0022'!D7</f>
        <v>20000</v>
      </c>
      <c r="H31" s="175"/>
      <c r="I31" s="72">
        <f>'2-0022'!E7</f>
        <v>5000</v>
      </c>
      <c r="J31" s="175"/>
      <c r="K31" s="72">
        <f>'2-0022'!F7</f>
        <v>20000</v>
      </c>
      <c r="L31" s="175"/>
      <c r="M31" s="72">
        <f>'2-0022'!G7</f>
        <v>5000</v>
      </c>
      <c r="N31" s="72"/>
      <c r="O31" s="72">
        <f>'2-0022'!H7</f>
        <v>20000</v>
      </c>
      <c r="P31" s="72"/>
      <c r="Q31" s="72">
        <f>'2-0022'!I7</f>
        <v>5000</v>
      </c>
      <c r="R31" s="72"/>
      <c r="S31" s="72">
        <f>'2-0022'!J7</f>
        <v>20000</v>
      </c>
      <c r="T31" s="72"/>
      <c r="U31" s="72">
        <f>'2-0022'!K7</f>
        <v>5000</v>
      </c>
      <c r="V31" s="72"/>
      <c r="W31" s="72">
        <f>'2-0022'!L7</f>
        <v>20000</v>
      </c>
      <c r="X31" s="72"/>
      <c r="Y31" s="72">
        <f>'2-0022'!M7</f>
        <v>5000</v>
      </c>
      <c r="Z31" s="72"/>
      <c r="AA31" s="340">
        <f>'2-0022'!N7</f>
        <v>20000</v>
      </c>
      <c r="AB31" s="72"/>
    </row>
    <row r="32" spans="1:29" ht="16" thickBot="1">
      <c r="A32" s="224" t="s">
        <v>154</v>
      </c>
      <c r="B32" s="173" t="str">
        <f>'2-0024'!A6</f>
        <v>Налог УСН</v>
      </c>
      <c r="C32" s="315">
        <f t="shared" si="4"/>
        <v>800000</v>
      </c>
      <c r="D32" s="315">
        <f t="shared" si="5"/>
        <v>0</v>
      </c>
      <c r="E32" s="175">
        <f>'2-0024'!C6</f>
        <v>0</v>
      </c>
      <c r="F32" s="175"/>
      <c r="G32" s="72">
        <f>'2-0024'!D6</f>
        <v>0</v>
      </c>
      <c r="H32" s="175"/>
      <c r="I32" s="72">
        <f>'2-0024'!E6</f>
        <v>200000</v>
      </c>
      <c r="J32" s="175"/>
      <c r="K32" s="72">
        <f>'2-0024'!F6</f>
        <v>200000</v>
      </c>
      <c r="L32" s="175"/>
      <c r="M32" s="72">
        <f>'2-0024'!G6</f>
        <v>0</v>
      </c>
      <c r="N32" s="72"/>
      <c r="O32" s="72">
        <f>'2-0024'!H6</f>
        <v>0</v>
      </c>
      <c r="P32" s="72"/>
      <c r="Q32" s="72">
        <f>'2-0024'!I6</f>
        <v>200000</v>
      </c>
      <c r="R32" s="72"/>
      <c r="S32" s="72">
        <f>'2-0024'!J6</f>
        <v>0</v>
      </c>
      <c r="T32" s="72"/>
      <c r="U32" s="72">
        <f>'2-0024'!K6</f>
        <v>0</v>
      </c>
      <c r="V32" s="72"/>
      <c r="W32" s="72">
        <f>'2-0024'!L6</f>
        <v>200000</v>
      </c>
      <c r="X32" s="72"/>
      <c r="Y32" s="72">
        <f>'2-0024'!M6</f>
        <v>0</v>
      </c>
      <c r="Z32" s="72"/>
      <c r="AA32" s="340">
        <f>'2-0024'!N6</f>
        <v>0</v>
      </c>
      <c r="AB32" s="72"/>
    </row>
    <row r="33" spans="1:29" ht="16" thickBot="1">
      <c r="A33" s="224" t="s">
        <v>155</v>
      </c>
      <c r="B33" s="287" t="str">
        <f>'2-0025'!A6</f>
        <v xml:space="preserve">Аренда земельного участка </v>
      </c>
      <c r="C33" s="315">
        <f t="shared" si="4"/>
        <v>740284.72000000009</v>
      </c>
      <c r="D33" s="315">
        <f t="shared" si="5"/>
        <v>0</v>
      </c>
      <c r="E33" s="311">
        <f>'2-0025'!C6</f>
        <v>59700.38</v>
      </c>
      <c r="F33" s="311"/>
      <c r="G33" s="113">
        <f>'2-0025'!D6</f>
        <v>59700.38</v>
      </c>
      <c r="H33" s="311"/>
      <c r="I33" s="113">
        <f>'2-0025'!E6</f>
        <v>59700.38</v>
      </c>
      <c r="J33" s="311"/>
      <c r="K33" s="113">
        <f>'2-0025'!F6</f>
        <v>59700.38</v>
      </c>
      <c r="L33" s="311"/>
      <c r="M33" s="113">
        <f>'2-0025'!G6</f>
        <v>62685.4</v>
      </c>
      <c r="N33" s="113"/>
      <c r="O33" s="113">
        <f>'2-0025'!H6</f>
        <v>62685.4</v>
      </c>
      <c r="P33" s="113"/>
      <c r="Q33" s="113">
        <f>'2-0025'!I6</f>
        <v>62685.4</v>
      </c>
      <c r="R33" s="113"/>
      <c r="S33" s="113">
        <f>'2-0025'!J6</f>
        <v>62685.4</v>
      </c>
      <c r="T33" s="113"/>
      <c r="U33" s="113">
        <f>'2-0025'!K6</f>
        <v>62685.4</v>
      </c>
      <c r="V33" s="113"/>
      <c r="W33" s="113">
        <f>'2-0025'!L6</f>
        <v>62685.4</v>
      </c>
      <c r="X33" s="113"/>
      <c r="Y33" s="113">
        <f>'2-0025'!M6</f>
        <v>62685.4</v>
      </c>
      <c r="Z33" s="113"/>
      <c r="AA33" s="347">
        <f>'2-0025'!N6</f>
        <v>62685.4</v>
      </c>
      <c r="AB33" s="113"/>
    </row>
    <row r="34" spans="1:29" s="166" customFormat="1" ht="15" thickBot="1">
      <c r="A34" s="167"/>
      <c r="B34" s="299" t="str">
        <f>'2-001'!A20</f>
        <v>Транспорт</v>
      </c>
      <c r="C34" s="314" t="e">
        <f t="shared" si="4"/>
        <v>#REF!</v>
      </c>
      <c r="D34" s="314">
        <f t="shared" si="5"/>
        <v>0</v>
      </c>
      <c r="E34" s="309" t="e">
        <f>SUM(E35:E39)</f>
        <v>#REF!</v>
      </c>
      <c r="F34" s="309">
        <f>SUM(F35:F39)</f>
        <v>0</v>
      </c>
      <c r="G34" s="116" t="e">
        <f t="shared" ref="G34:AB34" si="6">SUM(G35:G39)</f>
        <v>#REF!</v>
      </c>
      <c r="H34" s="309">
        <f>SUM(H35:H39)</f>
        <v>0</v>
      </c>
      <c r="I34" s="116" t="e">
        <f t="shared" si="6"/>
        <v>#REF!</v>
      </c>
      <c r="J34" s="116">
        <f t="shared" si="6"/>
        <v>0</v>
      </c>
      <c r="K34" s="116" t="e">
        <f t="shared" si="6"/>
        <v>#REF!</v>
      </c>
      <c r="L34" s="116">
        <f t="shared" si="6"/>
        <v>0</v>
      </c>
      <c r="M34" s="116" t="e">
        <f t="shared" si="6"/>
        <v>#REF!</v>
      </c>
      <c r="N34" s="116">
        <f t="shared" si="6"/>
        <v>0</v>
      </c>
      <c r="O34" s="116" t="e">
        <f t="shared" si="6"/>
        <v>#REF!</v>
      </c>
      <c r="P34" s="116">
        <f t="shared" si="6"/>
        <v>0</v>
      </c>
      <c r="Q34" s="116" t="e">
        <f t="shared" si="6"/>
        <v>#REF!</v>
      </c>
      <c r="R34" s="116">
        <f t="shared" si="6"/>
        <v>0</v>
      </c>
      <c r="S34" s="116" t="e">
        <f t="shared" si="6"/>
        <v>#REF!</v>
      </c>
      <c r="T34" s="116">
        <f t="shared" si="6"/>
        <v>0</v>
      </c>
      <c r="U34" s="116" t="e">
        <f t="shared" si="6"/>
        <v>#REF!</v>
      </c>
      <c r="V34" s="116">
        <f t="shared" si="6"/>
        <v>0</v>
      </c>
      <c r="W34" s="116" t="e">
        <f t="shared" si="6"/>
        <v>#REF!</v>
      </c>
      <c r="X34" s="116">
        <f t="shared" si="6"/>
        <v>0</v>
      </c>
      <c r="Y34" s="116" t="e">
        <f t="shared" si="6"/>
        <v>#REF!</v>
      </c>
      <c r="Z34" s="116">
        <f t="shared" si="6"/>
        <v>0</v>
      </c>
      <c r="AA34" s="345" t="e">
        <f t="shared" si="6"/>
        <v>#REF!</v>
      </c>
      <c r="AB34" s="345">
        <f t="shared" si="6"/>
        <v>0</v>
      </c>
    </row>
    <row r="35" spans="1:29" ht="16" thickBot="1">
      <c r="A35" s="224" t="s">
        <v>157</v>
      </c>
      <c r="B35" s="300" t="str">
        <f>'2-0027'!A4</f>
        <v>ГСМ для ТС</v>
      </c>
      <c r="C35" s="315">
        <f t="shared" si="4"/>
        <v>1770000</v>
      </c>
      <c r="D35" s="315">
        <f t="shared" si="5"/>
        <v>0</v>
      </c>
      <c r="E35" s="310">
        <f>'2-0027'!C4</f>
        <v>240000</v>
      </c>
      <c r="F35" s="310"/>
      <c r="G35" s="114">
        <f>'2-0027'!D4</f>
        <v>240000</v>
      </c>
      <c r="H35" s="310"/>
      <c r="I35" s="114">
        <f>'2-0027'!E4</f>
        <v>240000</v>
      </c>
      <c r="J35" s="310"/>
      <c r="K35" s="114">
        <f>'2-0027'!F4</f>
        <v>170000</v>
      </c>
      <c r="L35" s="310"/>
      <c r="M35" s="114">
        <f>'2-0027'!G4</f>
        <v>60000</v>
      </c>
      <c r="N35" s="114"/>
      <c r="O35" s="114">
        <f>'2-0027'!H4</f>
        <v>60000</v>
      </c>
      <c r="P35" s="114"/>
      <c r="Q35" s="114">
        <f>'2-0027'!I4</f>
        <v>170000</v>
      </c>
      <c r="R35" s="114"/>
      <c r="S35" s="114">
        <f>'2-0027'!J4</f>
        <v>60000</v>
      </c>
      <c r="T35" s="114"/>
      <c r="U35" s="114">
        <f>'2-0027'!K4</f>
        <v>60000</v>
      </c>
      <c r="V35" s="114"/>
      <c r="W35" s="114">
        <f>'2-0027'!L4</f>
        <v>170000</v>
      </c>
      <c r="X35" s="114"/>
      <c r="Y35" s="114">
        <f>'2-0027'!M4</f>
        <v>60000</v>
      </c>
      <c r="Z35" s="114"/>
      <c r="AA35" s="348">
        <f>'2-0027'!N4</f>
        <v>240000</v>
      </c>
      <c r="AB35" s="72"/>
    </row>
    <row r="36" spans="1:29" ht="16" thickBot="1">
      <c r="A36" s="224" t="s">
        <v>158</v>
      </c>
      <c r="B36" s="173" t="str">
        <f>'2-0028'!A6</f>
        <v xml:space="preserve">Шиномонтаж жителям </v>
      </c>
      <c r="C36" s="315" t="e">
        <f t="shared" si="4"/>
        <v>#REF!</v>
      </c>
      <c r="D36" s="315">
        <f t="shared" si="5"/>
        <v>0</v>
      </c>
      <c r="E36" s="175" t="e">
        <f>'2-0028'!C6</f>
        <v>#REF!</v>
      </c>
      <c r="F36" s="175"/>
      <c r="G36" s="72" t="e">
        <f>'2-0028'!D6</f>
        <v>#REF!</v>
      </c>
      <c r="H36" s="175"/>
      <c r="I36" s="72" t="e">
        <f>'2-0028'!E6</f>
        <v>#REF!</v>
      </c>
      <c r="J36" s="175"/>
      <c r="K36" s="72" t="e">
        <f>'2-0028'!F6</f>
        <v>#REF!</v>
      </c>
      <c r="L36" s="175"/>
      <c r="M36" s="72" t="e">
        <f>'2-0028'!G6</f>
        <v>#REF!</v>
      </c>
      <c r="N36" s="72"/>
      <c r="O36" s="72" t="e">
        <f>'2-0028'!H6</f>
        <v>#REF!</v>
      </c>
      <c r="P36" s="72"/>
      <c r="Q36" s="72" t="e">
        <f>'2-0028'!I6</f>
        <v>#REF!</v>
      </c>
      <c r="R36" s="72"/>
      <c r="S36" s="72" t="e">
        <f>'2-0028'!J6</f>
        <v>#REF!</v>
      </c>
      <c r="T36" s="72"/>
      <c r="U36" s="72" t="e">
        <f>'2-0028'!K6</f>
        <v>#REF!</v>
      </c>
      <c r="V36" s="72"/>
      <c r="W36" s="72" t="e">
        <f>'2-0028'!L6</f>
        <v>#REF!</v>
      </c>
      <c r="X36" s="72"/>
      <c r="Y36" s="72" t="e">
        <f>'2-0028'!M6</f>
        <v>#REF!</v>
      </c>
      <c r="Z36" s="72"/>
      <c r="AA36" s="340" t="e">
        <f>'2-0028'!N6</f>
        <v>#REF!</v>
      </c>
      <c r="AB36" s="72"/>
    </row>
    <row r="37" spans="1:29" ht="16" thickBot="1">
      <c r="A37" s="224" t="s">
        <v>160</v>
      </c>
      <c r="B37" s="173" t="str">
        <f>'2-0030'!A3</f>
        <v>Страхование ТС, транспортный налог</v>
      </c>
      <c r="C37" s="315">
        <f t="shared" si="4"/>
        <v>106500</v>
      </c>
      <c r="D37" s="315">
        <f t="shared" si="5"/>
        <v>0</v>
      </c>
      <c r="E37" s="175">
        <f>'2-0030'!C3</f>
        <v>16000</v>
      </c>
      <c r="F37" s="175"/>
      <c r="G37" s="72">
        <f>'2-0030'!D3</f>
        <v>7500</v>
      </c>
      <c r="H37" s="175"/>
      <c r="I37" s="72">
        <f>'2-0030'!E3</f>
        <v>5000</v>
      </c>
      <c r="J37" s="175"/>
      <c r="K37" s="72">
        <f>'2-0030'!F3</f>
        <v>26000</v>
      </c>
      <c r="L37" s="175"/>
      <c r="M37" s="72">
        <f>'2-0030'!G3</f>
        <v>0</v>
      </c>
      <c r="N37" s="72"/>
      <c r="O37" s="72">
        <f>'2-0030'!H3</f>
        <v>0</v>
      </c>
      <c r="P37" s="72"/>
      <c r="Q37" s="72">
        <f>'2-0030'!I3</f>
        <v>16000</v>
      </c>
      <c r="R37" s="72"/>
      <c r="S37" s="72">
        <f>'2-0030'!J3</f>
        <v>0</v>
      </c>
      <c r="T37" s="72"/>
      <c r="U37" s="72">
        <f>'2-0030'!K3</f>
        <v>0</v>
      </c>
      <c r="V37" s="72"/>
      <c r="W37" s="72">
        <f>'2-0030'!L3</f>
        <v>36000</v>
      </c>
      <c r="X37" s="72"/>
      <c r="Y37" s="72">
        <f>'2-0030'!M3</f>
        <v>0</v>
      </c>
      <c r="Z37" s="72"/>
      <c r="AA37" s="340">
        <f>'2-0030'!N3</f>
        <v>0</v>
      </c>
      <c r="AB37" s="72"/>
    </row>
    <row r="38" spans="1:29" ht="16" thickBot="1">
      <c r="A38" s="224" t="s">
        <v>161</v>
      </c>
      <c r="B38" s="173" t="str">
        <f>'2-0031'!A3</f>
        <v>Техническое обслуживание ТС и мототехники ( ремонты, запчасти )</v>
      </c>
      <c r="C38" s="315">
        <f t="shared" si="4"/>
        <v>800000</v>
      </c>
      <c r="D38" s="315">
        <f t="shared" si="5"/>
        <v>0</v>
      </c>
      <c r="E38" s="175">
        <f>'2-0031'!C3</f>
        <v>40000</v>
      </c>
      <c r="F38" s="175"/>
      <c r="G38" s="72">
        <f>'2-0031'!D3</f>
        <v>40000</v>
      </c>
      <c r="H38" s="175"/>
      <c r="I38" s="72">
        <f>'2-0031'!E3</f>
        <v>40000</v>
      </c>
      <c r="J38" s="175"/>
      <c r="K38" s="72">
        <f>'2-0031'!F3</f>
        <v>120000</v>
      </c>
      <c r="L38" s="175"/>
      <c r="M38" s="72">
        <f>'2-0031'!G3</f>
        <v>120000</v>
      </c>
      <c r="N38" s="72"/>
      <c r="O38" s="72">
        <f>'2-0031'!H3</f>
        <v>40000</v>
      </c>
      <c r="P38" s="72"/>
      <c r="Q38" s="72">
        <f>'2-0031'!I3</f>
        <v>40000</v>
      </c>
      <c r="R38" s="72"/>
      <c r="S38" s="72">
        <f>'2-0031'!J3</f>
        <v>40000</v>
      </c>
      <c r="T38" s="72"/>
      <c r="U38" s="72">
        <f>'2-0031'!K3</f>
        <v>120000</v>
      </c>
      <c r="V38" s="72"/>
      <c r="W38" s="72">
        <f>'2-0031'!L3</f>
        <v>120000</v>
      </c>
      <c r="X38" s="72"/>
      <c r="Y38" s="72">
        <f>'2-0031'!M3</f>
        <v>40000</v>
      </c>
      <c r="Z38" s="72"/>
      <c r="AA38" s="340">
        <f>'2-0031'!N3</f>
        <v>40000</v>
      </c>
      <c r="AB38" s="72"/>
    </row>
    <row r="39" spans="1:29" ht="16" thickBot="1">
      <c r="A39" s="224" t="s">
        <v>162</v>
      </c>
      <c r="B39" s="287" t="str">
        <f>'2-0032'!A3</f>
        <v>Покупка автомобиля</v>
      </c>
      <c r="C39" s="315">
        <f t="shared" si="4"/>
        <v>0</v>
      </c>
      <c r="D39" s="315">
        <f t="shared" si="5"/>
        <v>0</v>
      </c>
      <c r="E39" s="311">
        <f>'2-0032'!C3</f>
        <v>0</v>
      </c>
      <c r="F39" s="311"/>
      <c r="G39" s="113">
        <f>'2-0032'!D3</f>
        <v>0</v>
      </c>
      <c r="H39" s="311"/>
      <c r="I39" s="113">
        <f>'2-0032'!E3</f>
        <v>0</v>
      </c>
      <c r="J39" s="311"/>
      <c r="K39" s="113">
        <f>'2-0032'!F3</f>
        <v>0</v>
      </c>
      <c r="L39" s="311"/>
      <c r="M39" s="113">
        <f>'2-0032'!G3</f>
        <v>0</v>
      </c>
      <c r="N39" s="113"/>
      <c r="O39" s="113">
        <f>'2-0032'!H3</f>
        <v>0</v>
      </c>
      <c r="P39" s="113"/>
      <c r="Q39" s="113">
        <f>'2-0032'!I3</f>
        <v>0</v>
      </c>
      <c r="R39" s="113"/>
      <c r="S39" s="113">
        <f>'2-0032'!J3</f>
        <v>0</v>
      </c>
      <c r="T39" s="113"/>
      <c r="U39" s="113">
        <f>'2-0032'!K3</f>
        <v>0</v>
      </c>
      <c r="V39" s="113"/>
      <c r="W39" s="113">
        <f>'2-0032'!L3</f>
        <v>0</v>
      </c>
      <c r="X39" s="113"/>
      <c r="Y39" s="113">
        <f>'2-0032'!M3</f>
        <v>0</v>
      </c>
      <c r="Z39" s="113"/>
      <c r="AA39" s="347">
        <f>'2-0032'!N3</f>
        <v>0</v>
      </c>
      <c r="AB39" s="72"/>
    </row>
    <row r="40" spans="1:29" s="166" customFormat="1" ht="15" thickBot="1">
      <c r="A40" s="168"/>
      <c r="B40" s="299" t="str">
        <f>'2-001'!A27</f>
        <v>Обслуживание дорог</v>
      </c>
      <c r="C40" s="314">
        <f t="shared" si="4"/>
        <v>230000</v>
      </c>
      <c r="D40" s="314">
        <f t="shared" si="5"/>
        <v>0</v>
      </c>
      <c r="E40" s="309">
        <f>SUM(E41:E43)</f>
        <v>30000</v>
      </c>
      <c r="F40" s="309">
        <f>SUM(F41:F43)</f>
        <v>0</v>
      </c>
      <c r="G40" s="116">
        <f t="shared" ref="G40:AB40" si="7">SUM(G41:G43)</f>
        <v>50000</v>
      </c>
      <c r="H40" s="309">
        <f>SUM(H41:H43)</f>
        <v>0</v>
      </c>
      <c r="I40" s="116">
        <f t="shared" si="7"/>
        <v>0</v>
      </c>
      <c r="J40" s="116">
        <f t="shared" si="7"/>
        <v>0</v>
      </c>
      <c r="K40" s="116">
        <f t="shared" si="7"/>
        <v>0</v>
      </c>
      <c r="L40" s="116">
        <f t="shared" si="7"/>
        <v>0</v>
      </c>
      <c r="M40" s="116">
        <f t="shared" si="7"/>
        <v>50000</v>
      </c>
      <c r="N40" s="116">
        <f t="shared" si="7"/>
        <v>0</v>
      </c>
      <c r="O40" s="116">
        <f t="shared" si="7"/>
        <v>0</v>
      </c>
      <c r="P40" s="116"/>
      <c r="Q40" s="116">
        <f t="shared" si="7"/>
        <v>0</v>
      </c>
      <c r="R40" s="116"/>
      <c r="S40" s="116">
        <f t="shared" si="7"/>
        <v>0</v>
      </c>
      <c r="T40" s="116">
        <f t="shared" si="7"/>
        <v>0</v>
      </c>
      <c r="U40" s="116">
        <f t="shared" si="7"/>
        <v>0</v>
      </c>
      <c r="V40" s="116">
        <f t="shared" si="7"/>
        <v>0</v>
      </c>
      <c r="W40" s="116">
        <f t="shared" si="7"/>
        <v>0</v>
      </c>
      <c r="X40" s="116">
        <f t="shared" si="7"/>
        <v>0</v>
      </c>
      <c r="Y40" s="116">
        <f t="shared" si="7"/>
        <v>50000</v>
      </c>
      <c r="Z40" s="116">
        <f t="shared" si="7"/>
        <v>0</v>
      </c>
      <c r="AA40" s="345">
        <f t="shared" si="7"/>
        <v>50000</v>
      </c>
      <c r="AB40" s="345">
        <f t="shared" si="7"/>
        <v>0</v>
      </c>
    </row>
    <row r="41" spans="1:29" ht="16" thickBot="1">
      <c r="A41" s="225" t="s">
        <v>163</v>
      </c>
      <c r="B41" s="300" t="str">
        <f>'2-0033'!A3</f>
        <v>Ремонт дорожных покрытий</v>
      </c>
      <c r="C41" s="315">
        <f t="shared" si="4"/>
        <v>50000</v>
      </c>
      <c r="D41" s="315">
        <f t="shared" si="5"/>
        <v>0</v>
      </c>
      <c r="E41" s="310">
        <f>'2-0033'!C3</f>
        <v>0</v>
      </c>
      <c r="F41" s="310"/>
      <c r="G41" s="114">
        <f>'2-0033'!D3</f>
        <v>0</v>
      </c>
      <c r="H41" s="310"/>
      <c r="I41" s="114">
        <f>'2-0033'!E3</f>
        <v>0</v>
      </c>
      <c r="J41" s="310"/>
      <c r="K41" s="114">
        <f>'2-0033'!F3</f>
        <v>0</v>
      </c>
      <c r="L41" s="310"/>
      <c r="M41" s="114">
        <f>'2-0033'!G3</f>
        <v>50000</v>
      </c>
      <c r="N41" s="114"/>
      <c r="O41" s="114">
        <f>'2-0033'!H3</f>
        <v>0</v>
      </c>
      <c r="P41" s="114"/>
      <c r="Q41" s="114">
        <f>'2-0033'!I3</f>
        <v>0</v>
      </c>
      <c r="R41" s="114"/>
      <c r="S41" s="114">
        <f>'2-0033'!J3</f>
        <v>0</v>
      </c>
      <c r="T41" s="114"/>
      <c r="U41" s="114">
        <f>'2-0033'!K3</f>
        <v>0</v>
      </c>
      <c r="V41" s="114"/>
      <c r="W41" s="114">
        <f>'2-0033'!L3</f>
        <v>0</v>
      </c>
      <c r="X41" s="114"/>
      <c r="Y41" s="114">
        <f>'2-0033'!M3</f>
        <v>0</v>
      </c>
      <c r="Z41" s="114"/>
      <c r="AA41" s="348">
        <f>'2-0033'!N3</f>
        <v>0</v>
      </c>
      <c r="AB41" s="72"/>
    </row>
    <row r="42" spans="1:29" ht="16" thickBot="1">
      <c r="A42" s="225" t="s">
        <v>164</v>
      </c>
      <c r="B42" s="173" t="str">
        <f>'2-0034'!A3</f>
        <v>Привлечение дополнительной техники по уборке , чистке снега</v>
      </c>
      <c r="C42" s="315">
        <f t="shared" si="4"/>
        <v>100000</v>
      </c>
      <c r="D42" s="315">
        <f t="shared" si="5"/>
        <v>0</v>
      </c>
      <c r="E42" s="175">
        <f>'2-0034'!C3</f>
        <v>0</v>
      </c>
      <c r="F42" s="175"/>
      <c r="G42" s="72">
        <f>'2-0034'!D3</f>
        <v>50000</v>
      </c>
      <c r="H42" s="175"/>
      <c r="I42" s="72">
        <f>'2-0034'!E3</f>
        <v>0</v>
      </c>
      <c r="J42" s="175"/>
      <c r="K42" s="72">
        <f>'2-0034'!F3</f>
        <v>0</v>
      </c>
      <c r="L42" s="175"/>
      <c r="M42" s="72">
        <f>'2-0034'!G3</f>
        <v>0</v>
      </c>
      <c r="N42" s="72"/>
      <c r="O42" s="72">
        <f>'2-0034'!H3</f>
        <v>0</v>
      </c>
      <c r="P42" s="72"/>
      <c r="Q42" s="72">
        <f>'2-0034'!I3</f>
        <v>0</v>
      </c>
      <c r="R42" s="72"/>
      <c r="S42" s="72">
        <f>'2-0034'!J3</f>
        <v>0</v>
      </c>
      <c r="T42" s="72"/>
      <c r="U42" s="72">
        <f>'2-0034'!K3</f>
        <v>0</v>
      </c>
      <c r="V42" s="72"/>
      <c r="W42" s="72">
        <f>'2-0034'!L3</f>
        <v>0</v>
      </c>
      <c r="X42" s="72"/>
      <c r="Y42" s="72">
        <f>'2-0034'!M3</f>
        <v>0</v>
      </c>
      <c r="Z42" s="72"/>
      <c r="AA42" s="340">
        <f>'2-0034'!N3</f>
        <v>50000</v>
      </c>
      <c r="AB42" s="72"/>
    </row>
    <row r="43" spans="1:29" ht="16" thickBot="1">
      <c r="A43" s="225" t="s">
        <v>165</v>
      </c>
      <c r="B43" s="287" t="str">
        <f>'2-0035'!A3</f>
        <v>Песок, гранитная крошка, реагенты</v>
      </c>
      <c r="C43" s="315">
        <f t="shared" si="4"/>
        <v>80000</v>
      </c>
      <c r="D43" s="315">
        <f t="shared" si="5"/>
        <v>0</v>
      </c>
      <c r="E43" s="311">
        <f>'2-0035'!C3</f>
        <v>30000</v>
      </c>
      <c r="F43" s="311"/>
      <c r="G43" s="113">
        <f>'2-0035'!D3</f>
        <v>0</v>
      </c>
      <c r="H43" s="311"/>
      <c r="I43" s="113">
        <f>'2-0035'!E3</f>
        <v>0</v>
      </c>
      <c r="J43" s="311"/>
      <c r="K43" s="113">
        <f>'2-0035'!F3</f>
        <v>0</v>
      </c>
      <c r="L43" s="311"/>
      <c r="M43" s="113">
        <f>'2-0035'!G3</f>
        <v>0</v>
      </c>
      <c r="N43" s="113"/>
      <c r="O43" s="113">
        <f>'2-0035'!H3</f>
        <v>0</v>
      </c>
      <c r="P43" s="113"/>
      <c r="Q43" s="113">
        <f>'2-0035'!I3</f>
        <v>0</v>
      </c>
      <c r="R43" s="113"/>
      <c r="S43" s="113">
        <f>'2-0035'!J3</f>
        <v>0</v>
      </c>
      <c r="T43" s="113"/>
      <c r="U43" s="113">
        <f>'2-0035'!K3</f>
        <v>0</v>
      </c>
      <c r="V43" s="113"/>
      <c r="W43" s="113">
        <f>'2-0035'!L3</f>
        <v>0</v>
      </c>
      <c r="X43" s="113"/>
      <c r="Y43" s="113">
        <f>'2-0035'!M3</f>
        <v>50000</v>
      </c>
      <c r="Z43" s="113"/>
      <c r="AA43" s="347">
        <f>'2-0035'!N3</f>
        <v>0</v>
      </c>
      <c r="AB43" s="72"/>
    </row>
    <row r="44" spans="1:29" s="166" customFormat="1" ht="15" thickBot="1">
      <c r="A44" s="168"/>
      <c r="B44" s="299" t="str">
        <f>'2-001'!A31</f>
        <v>Благоустройство/озеленение</v>
      </c>
      <c r="C44" s="314">
        <f t="shared" si="4"/>
        <v>10424000</v>
      </c>
      <c r="D44" s="314">
        <f t="shared" si="5"/>
        <v>0</v>
      </c>
      <c r="E44" s="309">
        <f t="shared" ref="E44:Z44" si="8">SUM(E45:E53)</f>
        <v>560000</v>
      </c>
      <c r="F44" s="309">
        <f t="shared" si="8"/>
        <v>0</v>
      </c>
      <c r="G44" s="309">
        <f t="shared" si="8"/>
        <v>2325000</v>
      </c>
      <c r="H44" s="309">
        <f t="shared" si="8"/>
        <v>0</v>
      </c>
      <c r="I44" s="309">
        <f t="shared" si="8"/>
        <v>475000</v>
      </c>
      <c r="J44" s="309">
        <f t="shared" si="8"/>
        <v>0</v>
      </c>
      <c r="K44" s="309">
        <f t="shared" si="8"/>
        <v>819000</v>
      </c>
      <c r="L44" s="309">
        <f t="shared" si="8"/>
        <v>0</v>
      </c>
      <c r="M44" s="309">
        <f t="shared" si="8"/>
        <v>854000</v>
      </c>
      <c r="N44" s="309">
        <f t="shared" si="8"/>
        <v>0</v>
      </c>
      <c r="O44" s="309">
        <f t="shared" si="8"/>
        <v>819000</v>
      </c>
      <c r="P44" s="309">
        <f t="shared" si="8"/>
        <v>0</v>
      </c>
      <c r="Q44" s="309">
        <f t="shared" si="8"/>
        <v>854000</v>
      </c>
      <c r="R44" s="309">
        <f t="shared" si="8"/>
        <v>0</v>
      </c>
      <c r="S44" s="309">
        <f t="shared" si="8"/>
        <v>819000</v>
      </c>
      <c r="T44" s="309">
        <f t="shared" si="8"/>
        <v>0</v>
      </c>
      <c r="U44" s="309">
        <f t="shared" si="8"/>
        <v>749000</v>
      </c>
      <c r="V44" s="309">
        <f t="shared" si="8"/>
        <v>0</v>
      </c>
      <c r="W44" s="309">
        <f t="shared" si="8"/>
        <v>795000</v>
      </c>
      <c r="X44" s="309">
        <f t="shared" si="8"/>
        <v>0</v>
      </c>
      <c r="Y44" s="309">
        <f t="shared" si="8"/>
        <v>830000</v>
      </c>
      <c r="Z44" s="309">
        <f t="shared" si="8"/>
        <v>0</v>
      </c>
      <c r="AA44" s="331">
        <f>SUM(AA45:AA53)</f>
        <v>525000</v>
      </c>
      <c r="AB44" s="331">
        <f>SUM(AB45:AB53)</f>
        <v>0</v>
      </c>
    </row>
    <row r="45" spans="1:29" s="6" customFormat="1" ht="16" thickBot="1">
      <c r="A45" s="369" t="s">
        <v>166</v>
      </c>
      <c r="B45" s="370" t="str">
        <f>'2-0036'!A3</f>
        <v>Устройство, ремонт детских, спортивных площадок.</v>
      </c>
      <c r="C45" s="315">
        <f t="shared" si="4"/>
        <v>0</v>
      </c>
      <c r="D45" s="315">
        <f t="shared" si="5"/>
        <v>0</v>
      </c>
      <c r="E45" s="371">
        <f>'2-0036'!C3</f>
        <v>0</v>
      </c>
      <c r="F45" s="371"/>
      <c r="G45" s="372">
        <f>'2-0036'!D3</f>
        <v>0</v>
      </c>
      <c r="H45" s="371"/>
      <c r="I45" s="372">
        <f>'2-0036'!E3</f>
        <v>0</v>
      </c>
      <c r="J45" s="371"/>
      <c r="K45" s="372">
        <f>'2-0036'!F3</f>
        <v>0</v>
      </c>
      <c r="L45" s="371"/>
      <c r="M45" s="372">
        <f>'2-0036'!G3</f>
        <v>0</v>
      </c>
      <c r="N45" s="372"/>
      <c r="O45" s="372">
        <f>'2-0036'!H3</f>
        <v>0</v>
      </c>
      <c r="P45" s="372"/>
      <c r="Q45" s="372">
        <f>'2-0036'!I3</f>
        <v>0</v>
      </c>
      <c r="R45" s="372"/>
      <c r="S45" s="372">
        <f>'2-0036'!J3</f>
        <v>0</v>
      </c>
      <c r="T45" s="372"/>
      <c r="U45" s="372">
        <f>'2-0036'!K3</f>
        <v>0</v>
      </c>
      <c r="V45" s="372"/>
      <c r="W45" s="372">
        <f>'2-0036'!L3</f>
        <v>0</v>
      </c>
      <c r="X45" s="372"/>
      <c r="Y45" s="372">
        <f>'2-0036'!M3</f>
        <v>0</v>
      </c>
      <c r="Z45" s="372"/>
      <c r="AA45" s="373">
        <f>'2-0036'!N3</f>
        <v>0</v>
      </c>
      <c r="AB45" s="367"/>
    </row>
    <row r="46" spans="1:29" ht="16" thickBot="1">
      <c r="A46" s="226" t="s">
        <v>167</v>
      </c>
      <c r="B46" s="173" t="str">
        <f>'2-0037'!A3</f>
        <v>Восстановление цветников, газонов (в т.ч. обслуживание) озеленение.</v>
      </c>
      <c r="C46" s="315">
        <f t="shared" si="4"/>
        <v>560000</v>
      </c>
      <c r="D46" s="315">
        <f t="shared" si="5"/>
        <v>0</v>
      </c>
      <c r="E46" s="175">
        <f>'2-0037'!C3</f>
        <v>0</v>
      </c>
      <c r="F46" s="175"/>
      <c r="G46" s="72">
        <f>'2-0037'!D3</f>
        <v>0</v>
      </c>
      <c r="H46" s="175"/>
      <c r="I46" s="72">
        <f>'2-0037'!E3</f>
        <v>0</v>
      </c>
      <c r="J46" s="175"/>
      <c r="K46" s="72">
        <f>'2-0037'!F3</f>
        <v>70000</v>
      </c>
      <c r="L46" s="175"/>
      <c r="M46" s="72">
        <f>'2-0037'!G3</f>
        <v>70000</v>
      </c>
      <c r="N46" s="72"/>
      <c r="O46" s="72">
        <f>'2-0037'!H3</f>
        <v>70000</v>
      </c>
      <c r="P46" s="72"/>
      <c r="Q46" s="72">
        <f>'2-0037'!I3</f>
        <v>70000</v>
      </c>
      <c r="R46" s="72"/>
      <c r="S46" s="72">
        <f>'2-0037'!J3</f>
        <v>70000</v>
      </c>
      <c r="T46" s="72"/>
      <c r="U46" s="72">
        <f>'2-0037'!K3</f>
        <v>70000</v>
      </c>
      <c r="V46" s="72"/>
      <c r="W46" s="72">
        <f>'2-0037'!L3</f>
        <v>70000</v>
      </c>
      <c r="X46" s="72"/>
      <c r="Y46" s="72">
        <f>'2-0037'!M3</f>
        <v>70000</v>
      </c>
      <c r="Z46" s="72"/>
      <c r="AA46" s="340">
        <f>'2-0037'!N3</f>
        <v>0</v>
      </c>
      <c r="AB46" s="72"/>
      <c r="AC46" s="6"/>
    </row>
    <row r="47" spans="1:29" ht="16" thickBot="1">
      <c r="A47" s="225" t="s">
        <v>168</v>
      </c>
      <c r="B47" s="173" t="str">
        <f>'2-0038'!A3</f>
        <v>Санитарная обработка территорий</v>
      </c>
      <c r="C47" s="315">
        <f t="shared" si="4"/>
        <v>0</v>
      </c>
      <c r="D47" s="315">
        <f t="shared" si="5"/>
        <v>0</v>
      </c>
      <c r="E47" s="175">
        <f>'2-0038'!C3</f>
        <v>0</v>
      </c>
      <c r="F47" s="175"/>
      <c r="G47" s="72">
        <f>'2-0038'!D3</f>
        <v>0</v>
      </c>
      <c r="H47" s="175"/>
      <c r="I47" s="72">
        <f>'2-0038'!E3</f>
        <v>0</v>
      </c>
      <c r="J47" s="175"/>
      <c r="K47" s="72">
        <f>'2-0038'!F3</f>
        <v>0</v>
      </c>
      <c r="L47" s="175"/>
      <c r="M47" s="72">
        <f>'2-0038'!G3</f>
        <v>0</v>
      </c>
      <c r="N47" s="72"/>
      <c r="O47" s="72">
        <f>'2-0038'!H3</f>
        <v>0</v>
      </c>
      <c r="P47" s="72"/>
      <c r="Q47" s="72">
        <f>'2-0038'!I3</f>
        <v>0</v>
      </c>
      <c r="R47" s="72"/>
      <c r="S47" s="72">
        <f>'2-0038'!J3</f>
        <v>0</v>
      </c>
      <c r="T47" s="72"/>
      <c r="U47" s="72">
        <f>'2-0038'!K3</f>
        <v>0</v>
      </c>
      <c r="V47" s="72"/>
      <c r="W47" s="72">
        <f>'2-0038'!L3</f>
        <v>0</v>
      </c>
      <c r="X47" s="72"/>
      <c r="Y47" s="72">
        <f>'2-0038'!M3</f>
        <v>0</v>
      </c>
      <c r="Z47" s="72"/>
      <c r="AA47" s="340">
        <f>'2-0038'!N3</f>
        <v>0</v>
      </c>
      <c r="AB47" s="72"/>
      <c r="AC47" s="6"/>
    </row>
    <row r="48" spans="1:29" ht="16" thickBot="1">
      <c r="A48" s="225" t="s">
        <v>169</v>
      </c>
      <c r="B48" s="173" t="str">
        <f>'2-0039'!A3</f>
        <v xml:space="preserve">Прочие расходы по благоустройству </v>
      </c>
      <c r="C48" s="315">
        <f t="shared" si="4"/>
        <v>210000</v>
      </c>
      <c r="D48" s="315">
        <f t="shared" si="5"/>
        <v>0</v>
      </c>
      <c r="E48" s="175">
        <f>'2-0039'!C3</f>
        <v>35000</v>
      </c>
      <c r="F48" s="175"/>
      <c r="G48" s="72">
        <f>'2-0039'!D3</f>
        <v>0</v>
      </c>
      <c r="H48" s="175"/>
      <c r="I48" s="72">
        <f>'2-0039'!E3</f>
        <v>35000</v>
      </c>
      <c r="J48" s="175"/>
      <c r="K48" s="72">
        <f>'2-0039'!F3</f>
        <v>0</v>
      </c>
      <c r="L48" s="175"/>
      <c r="M48" s="72">
        <f>'2-0039'!G3</f>
        <v>35000</v>
      </c>
      <c r="N48" s="72"/>
      <c r="O48" s="72">
        <f>'2-0039'!H3</f>
        <v>0</v>
      </c>
      <c r="P48" s="72"/>
      <c r="Q48" s="72">
        <f>'2-0039'!I3</f>
        <v>35000</v>
      </c>
      <c r="R48" s="72"/>
      <c r="S48" s="72">
        <f>'2-0039'!J3</f>
        <v>0</v>
      </c>
      <c r="T48" s="72"/>
      <c r="U48" s="72">
        <f>'2-0039'!K3</f>
        <v>35000</v>
      </c>
      <c r="V48" s="72"/>
      <c r="W48" s="72">
        <f>'2-0039'!L3</f>
        <v>0</v>
      </c>
      <c r="X48" s="72"/>
      <c r="Y48" s="72">
        <f>'2-0039'!M3</f>
        <v>35000</v>
      </c>
      <c r="Z48" s="72"/>
      <c r="AA48" s="340">
        <f>'2-0039'!N3</f>
        <v>0</v>
      </c>
      <c r="AB48" s="72"/>
      <c r="AC48" s="6"/>
    </row>
    <row r="49" spans="1:29" ht="30" thickBot="1">
      <c r="A49" s="225" t="s">
        <v>171</v>
      </c>
      <c r="B49" s="173" t="str">
        <f>'2-0041'!A3</f>
        <v>Покупка легкового автомобился для слубы главного инженера типа Ларгус</v>
      </c>
      <c r="C49" s="315">
        <f t="shared" si="4"/>
        <v>1800000</v>
      </c>
      <c r="D49" s="315">
        <f t="shared" si="5"/>
        <v>0</v>
      </c>
      <c r="E49" s="175">
        <f>'2-0041'!C3</f>
        <v>0</v>
      </c>
      <c r="F49" s="175"/>
      <c r="G49" s="72">
        <f>'2-0041'!D3</f>
        <v>1800000</v>
      </c>
      <c r="H49" s="175"/>
      <c r="I49" s="72">
        <f>'2-0041'!E3</f>
        <v>0</v>
      </c>
      <c r="J49" s="175"/>
      <c r="K49" s="72">
        <f>'2-0041'!F3</f>
        <v>0</v>
      </c>
      <c r="L49" s="175"/>
      <c r="M49" s="72">
        <f>'2-0041'!G3</f>
        <v>0</v>
      </c>
      <c r="N49" s="72"/>
      <c r="O49" s="72">
        <f>'2-0041'!H3</f>
        <v>0</v>
      </c>
      <c r="P49" s="72"/>
      <c r="Q49" s="72">
        <f>'2-0041'!I3</f>
        <v>0</v>
      </c>
      <c r="R49" s="72"/>
      <c r="S49" s="72">
        <f>'2-0041'!J3</f>
        <v>0</v>
      </c>
      <c r="T49" s="72"/>
      <c r="U49" s="72">
        <f>'2-0041'!K3</f>
        <v>0</v>
      </c>
      <c r="V49" s="72"/>
      <c r="W49" s="72">
        <f>'2-0041'!L3</f>
        <v>0</v>
      </c>
      <c r="X49" s="72"/>
      <c r="Y49" s="72">
        <f>'2-0041'!M3</f>
        <v>0</v>
      </c>
      <c r="Z49" s="72"/>
      <c r="AA49" s="340">
        <f>'2-0041'!N3</f>
        <v>0</v>
      </c>
      <c r="AB49" s="72"/>
      <c r="AC49" s="6"/>
    </row>
    <row r="50" spans="1:29" ht="16" thickBot="1">
      <c r="A50" s="225" t="s">
        <v>172</v>
      </c>
      <c r="B50" s="173" t="str">
        <f>'2-0042'!A3</f>
        <v>Вывоз мусора (фиксированная часть)</v>
      </c>
      <c r="C50" s="315">
        <f t="shared" si="4"/>
        <v>3840000</v>
      </c>
      <c r="D50" s="315">
        <f t="shared" si="5"/>
        <v>0</v>
      </c>
      <c r="E50" s="175">
        <f>'2-0042'!C3</f>
        <v>320000</v>
      </c>
      <c r="F50" s="175"/>
      <c r="G50" s="72">
        <f>'2-0042'!D3</f>
        <v>320000</v>
      </c>
      <c r="H50" s="175"/>
      <c r="I50" s="72">
        <f>'2-0042'!E3</f>
        <v>320000</v>
      </c>
      <c r="J50" s="175"/>
      <c r="K50" s="72">
        <f>'2-0042'!F3</f>
        <v>320000</v>
      </c>
      <c r="L50" s="175"/>
      <c r="M50" s="72">
        <f>'2-0042'!G3</f>
        <v>320000</v>
      </c>
      <c r="N50" s="72"/>
      <c r="O50" s="72">
        <f>'2-0042'!H3</f>
        <v>320000</v>
      </c>
      <c r="P50" s="72"/>
      <c r="Q50" s="72">
        <f>'2-0042'!I3</f>
        <v>320000</v>
      </c>
      <c r="R50" s="72"/>
      <c r="S50" s="72">
        <f>'2-0042'!J3</f>
        <v>320000</v>
      </c>
      <c r="T50" s="72"/>
      <c r="U50" s="72">
        <f>'2-0042'!K3</f>
        <v>320000</v>
      </c>
      <c r="V50" s="72"/>
      <c r="W50" s="72">
        <f>'2-0042'!L3</f>
        <v>320000</v>
      </c>
      <c r="X50" s="72"/>
      <c r="Y50" s="72">
        <f>'2-0042'!M3</f>
        <v>320000</v>
      </c>
      <c r="Z50" s="72"/>
      <c r="AA50" s="340">
        <f>'2-0042'!N3</f>
        <v>320000</v>
      </c>
      <c r="AB50" s="72"/>
      <c r="AC50" s="6"/>
    </row>
    <row r="51" spans="1:29" ht="16" thickBot="1">
      <c r="A51" s="225" t="s">
        <v>173</v>
      </c>
      <c r="B51" s="173" t="str">
        <f>'2-0043'!A3</f>
        <v>Вывоз мусора (переменная часть)</v>
      </c>
      <c r="C51" s="315">
        <f t="shared" si="4"/>
        <v>2964000</v>
      </c>
      <c r="D51" s="315">
        <f t="shared" si="5"/>
        <v>0</v>
      </c>
      <c r="E51" s="175">
        <f>'2-0043'!C3</f>
        <v>100000</v>
      </c>
      <c r="F51" s="175"/>
      <c r="G51" s="72">
        <f>'2-0043'!D3</f>
        <v>100000</v>
      </c>
      <c r="H51" s="175"/>
      <c r="I51" s="72">
        <f>'2-0043'!E3</f>
        <v>120000</v>
      </c>
      <c r="J51" s="175"/>
      <c r="K51" s="72">
        <f>'2-0043'!F3</f>
        <v>324000</v>
      </c>
      <c r="L51" s="175"/>
      <c r="M51" s="72">
        <f>'2-0043'!G3</f>
        <v>324000</v>
      </c>
      <c r="N51" s="72"/>
      <c r="O51" s="72">
        <f>'2-0043'!H3</f>
        <v>324000</v>
      </c>
      <c r="P51" s="72"/>
      <c r="Q51" s="72">
        <f>'2-0043'!I3</f>
        <v>324000</v>
      </c>
      <c r="R51" s="72"/>
      <c r="S51" s="72">
        <f>'2-0043'!J3</f>
        <v>324000</v>
      </c>
      <c r="T51" s="72"/>
      <c r="U51" s="72">
        <f>'2-0043'!K3</f>
        <v>324000</v>
      </c>
      <c r="V51" s="72"/>
      <c r="W51" s="72">
        <f>'2-0043'!L3</f>
        <v>300000</v>
      </c>
      <c r="X51" s="72"/>
      <c r="Y51" s="72">
        <f>'2-0043'!M3</f>
        <v>300000</v>
      </c>
      <c r="Z51" s="72"/>
      <c r="AA51" s="340">
        <f>'2-0043'!N3</f>
        <v>100000</v>
      </c>
      <c r="AB51" s="72"/>
      <c r="AC51" s="6"/>
    </row>
    <row r="52" spans="1:29" ht="16" thickBot="1">
      <c r="A52" s="225" t="s">
        <v>174</v>
      </c>
      <c r="B52" s="173" t="str">
        <f>'2-0044'!A3</f>
        <v>Покупка мусорных мешков</v>
      </c>
      <c r="C52" s="315">
        <f t="shared" si="4"/>
        <v>1050000</v>
      </c>
      <c r="D52" s="315">
        <f t="shared" si="5"/>
        <v>0</v>
      </c>
      <c r="E52" s="175">
        <f>'2-0044'!C3</f>
        <v>105000</v>
      </c>
      <c r="F52" s="175"/>
      <c r="G52" s="72">
        <f>'2-0044'!D3</f>
        <v>105000</v>
      </c>
      <c r="H52" s="175"/>
      <c r="I52" s="72">
        <f>'2-0044'!E3</f>
        <v>0</v>
      </c>
      <c r="J52" s="175"/>
      <c r="K52" s="72">
        <f>'2-0044'!F3</f>
        <v>105000</v>
      </c>
      <c r="L52" s="175"/>
      <c r="M52" s="72">
        <f>'2-0044'!G3</f>
        <v>105000</v>
      </c>
      <c r="N52" s="72"/>
      <c r="O52" s="72">
        <f>'2-0044'!H3</f>
        <v>105000</v>
      </c>
      <c r="P52" s="72"/>
      <c r="Q52" s="72">
        <f>'2-0044'!I3</f>
        <v>105000</v>
      </c>
      <c r="R52" s="72"/>
      <c r="S52" s="72">
        <f>'2-0044'!J3</f>
        <v>105000</v>
      </c>
      <c r="T52" s="72"/>
      <c r="U52" s="72">
        <f>'2-0044'!K3</f>
        <v>0</v>
      </c>
      <c r="V52" s="72"/>
      <c r="W52" s="72">
        <f>'2-0044'!L3</f>
        <v>105000</v>
      </c>
      <c r="X52" s="72"/>
      <c r="Y52" s="72">
        <f>'2-0044'!M3</f>
        <v>105000</v>
      </c>
      <c r="Z52" s="72"/>
      <c r="AA52" s="340">
        <f>'2-0044'!N3</f>
        <v>105000</v>
      </c>
      <c r="AB52" s="72"/>
      <c r="AC52" s="6"/>
    </row>
    <row r="53" spans="1:29" s="44" customFormat="1" ht="16" thickBot="1">
      <c r="A53" s="224" t="s">
        <v>153</v>
      </c>
      <c r="B53" s="173" t="str">
        <f>'2-0023'!A6</f>
        <v>Услуги сторонних контрагентов ( аутсафтинг)</v>
      </c>
      <c r="C53" s="315">
        <f t="shared" si="4"/>
        <v>0</v>
      </c>
      <c r="D53" s="315">
        <f t="shared" si="5"/>
        <v>0</v>
      </c>
      <c r="E53" s="175">
        <f>'2-0023'!C6</f>
        <v>0</v>
      </c>
      <c r="F53" s="175"/>
      <c r="G53" s="175">
        <f>'2-0023'!D6</f>
        <v>0</v>
      </c>
      <c r="H53" s="175"/>
      <c r="I53" s="175">
        <f>'2-0023'!E6</f>
        <v>0</v>
      </c>
      <c r="J53" s="175"/>
      <c r="K53" s="175">
        <f>'2-0023'!F6</f>
        <v>0</v>
      </c>
      <c r="L53" s="175"/>
      <c r="M53" s="175">
        <f>'2-0023'!G6</f>
        <v>0</v>
      </c>
      <c r="N53" s="175"/>
      <c r="O53" s="175">
        <f>'2-0023'!H6</f>
        <v>0</v>
      </c>
      <c r="P53" s="175"/>
      <c r="Q53" s="175">
        <f>'2-0023'!I6</f>
        <v>0</v>
      </c>
      <c r="R53" s="175"/>
      <c r="S53" s="175">
        <f>'2-0023'!J6</f>
        <v>0</v>
      </c>
      <c r="T53" s="175"/>
      <c r="U53" s="175">
        <f>'2-0023'!K6</f>
        <v>0</v>
      </c>
      <c r="V53" s="175"/>
      <c r="W53" s="175">
        <f>'2-0023'!L6</f>
        <v>0</v>
      </c>
      <c r="X53" s="175"/>
      <c r="Y53" s="175">
        <f>'2-0023'!M6</f>
        <v>0</v>
      </c>
      <c r="Z53" s="175"/>
      <c r="AA53" s="349">
        <f>'2-0023'!N6</f>
        <v>0</v>
      </c>
      <c r="AB53" s="72"/>
      <c r="AC53" s="2"/>
    </row>
    <row r="54" spans="1:29" s="166" customFormat="1" ht="16" thickBot="1">
      <c r="A54" s="225" t="s">
        <v>176</v>
      </c>
      <c r="B54" s="299" t="str">
        <f>'2-0046'!A3</f>
        <v>Содержание прибрежной полосы( аренда, лицензия, проект)</v>
      </c>
      <c r="C54" s="314">
        <f t="shared" si="4"/>
        <v>2360000</v>
      </c>
      <c r="D54" s="314">
        <f t="shared" si="5"/>
        <v>30000</v>
      </c>
      <c r="E54" s="309">
        <f>'2-0046'!C3</f>
        <v>2030000</v>
      </c>
      <c r="F54" s="309"/>
      <c r="G54" s="116">
        <f>'2-0046'!D3</f>
        <v>30000</v>
      </c>
      <c r="H54" s="309"/>
      <c r="I54" s="116">
        <f>'2-0046'!E3</f>
        <v>30000</v>
      </c>
      <c r="J54" s="309"/>
      <c r="K54" s="116">
        <f>'2-0046'!F3</f>
        <v>30000</v>
      </c>
      <c r="L54" s="309"/>
      <c r="M54" s="116">
        <f>'2-0046'!G3</f>
        <v>30000</v>
      </c>
      <c r="N54" s="116"/>
      <c r="O54" s="116">
        <f>'2-0046'!H3</f>
        <v>30000</v>
      </c>
      <c r="P54" s="116"/>
      <c r="Q54" s="116">
        <f>'2-0046'!I3</f>
        <v>30000</v>
      </c>
      <c r="R54" s="116">
        <f>'2-0046'!J3</f>
        <v>30000</v>
      </c>
      <c r="S54" s="116">
        <f>'2-0046'!J3</f>
        <v>30000</v>
      </c>
      <c r="T54" s="116"/>
      <c r="U54" s="116">
        <f>'2-0046'!K3</f>
        <v>30000</v>
      </c>
      <c r="V54" s="116"/>
      <c r="W54" s="116">
        <f>'2-0046'!L3</f>
        <v>30000</v>
      </c>
      <c r="X54" s="116"/>
      <c r="Y54" s="116">
        <f>'2-0046'!M3</f>
        <v>30000</v>
      </c>
      <c r="Z54" s="116"/>
      <c r="AA54" s="345">
        <f>'2-0046'!N3</f>
        <v>30000</v>
      </c>
      <c r="AB54" s="101"/>
    </row>
    <row r="55" spans="1:29" s="166" customFormat="1" ht="16" thickBot="1">
      <c r="A55" s="226" t="s">
        <v>177</v>
      </c>
      <c r="B55" s="301" t="str">
        <f>'2-0047'!A3</f>
        <v>Строительство и реконструкция объектов инфраструктуры</v>
      </c>
      <c r="C55" s="314">
        <f t="shared" si="4"/>
        <v>0</v>
      </c>
      <c r="D55" s="314">
        <f t="shared" si="5"/>
        <v>0</v>
      </c>
      <c r="E55" s="312">
        <f>'2-0047'!C3</f>
        <v>0</v>
      </c>
      <c r="F55" s="312"/>
      <c r="G55" s="312">
        <f>'2-0047'!D3</f>
        <v>0</v>
      </c>
      <c r="H55" s="312"/>
      <c r="I55" s="312">
        <f>'2-0047'!E3</f>
        <v>0</v>
      </c>
      <c r="J55" s="312"/>
      <c r="K55" s="312">
        <f>'2-0047'!F3</f>
        <v>0</v>
      </c>
      <c r="L55" s="312"/>
      <c r="M55" s="312">
        <f>'2-0047'!G3</f>
        <v>0</v>
      </c>
      <c r="N55" s="312"/>
      <c r="O55" s="312">
        <f>'2-0047'!H3</f>
        <v>0</v>
      </c>
      <c r="P55" s="312"/>
      <c r="Q55" s="312">
        <f>'2-0047'!I3</f>
        <v>0</v>
      </c>
      <c r="R55" s="312"/>
      <c r="S55" s="312">
        <f>'2-0047'!J3</f>
        <v>0</v>
      </c>
      <c r="T55" s="312"/>
      <c r="U55" s="312">
        <f>'2-0047'!K3</f>
        <v>0</v>
      </c>
      <c r="V55" s="312"/>
      <c r="W55" s="312">
        <f>'2-0047'!L3</f>
        <v>0</v>
      </c>
      <c r="X55" s="312"/>
      <c r="Y55" s="312">
        <f>'2-0047'!M3</f>
        <v>0</v>
      </c>
      <c r="Z55" s="312"/>
      <c r="AA55" s="333">
        <f>'2-0047'!N3</f>
        <v>0</v>
      </c>
      <c r="AB55" s="354"/>
    </row>
    <row r="56" spans="1:29" s="170" customFormat="1" ht="15" thickBot="1">
      <c r="A56" s="171"/>
      <c r="B56" s="302" t="str">
        <f>'2-001'!A44</f>
        <v>Охрана ЧОП</v>
      </c>
      <c r="C56" s="314">
        <f t="shared" si="4"/>
        <v>23250000</v>
      </c>
      <c r="D56" s="314">
        <f t="shared" si="5"/>
        <v>0</v>
      </c>
      <c r="E56" s="313">
        <f t="shared" ref="E56:AB56" si="9">SUM(E57:E61)</f>
        <v>1935000</v>
      </c>
      <c r="F56" s="313">
        <f t="shared" si="9"/>
        <v>0</v>
      </c>
      <c r="G56" s="169">
        <f t="shared" si="9"/>
        <v>1935000</v>
      </c>
      <c r="H56" s="313">
        <f t="shared" si="9"/>
        <v>0</v>
      </c>
      <c r="I56" s="169">
        <f t="shared" si="9"/>
        <v>1945000</v>
      </c>
      <c r="J56" s="169">
        <f t="shared" si="9"/>
        <v>0</v>
      </c>
      <c r="K56" s="169">
        <f t="shared" si="9"/>
        <v>1935000</v>
      </c>
      <c r="L56" s="169">
        <f t="shared" si="9"/>
        <v>0</v>
      </c>
      <c r="M56" s="169">
        <f t="shared" si="9"/>
        <v>1935000</v>
      </c>
      <c r="N56" s="169">
        <f t="shared" si="9"/>
        <v>0</v>
      </c>
      <c r="O56" s="169">
        <f t="shared" si="9"/>
        <v>1935000</v>
      </c>
      <c r="P56" s="169">
        <f t="shared" si="9"/>
        <v>0</v>
      </c>
      <c r="Q56" s="169">
        <f t="shared" si="9"/>
        <v>1935000</v>
      </c>
      <c r="R56" s="169">
        <f t="shared" si="9"/>
        <v>0</v>
      </c>
      <c r="S56" s="169">
        <f t="shared" si="9"/>
        <v>1945000</v>
      </c>
      <c r="T56" s="169">
        <f t="shared" si="9"/>
        <v>0</v>
      </c>
      <c r="U56" s="169">
        <f t="shared" si="9"/>
        <v>1935000</v>
      </c>
      <c r="V56" s="169">
        <f t="shared" si="9"/>
        <v>0</v>
      </c>
      <c r="W56" s="169">
        <f t="shared" si="9"/>
        <v>1935000</v>
      </c>
      <c r="X56" s="169">
        <f t="shared" si="9"/>
        <v>0</v>
      </c>
      <c r="Y56" s="169">
        <f t="shared" si="9"/>
        <v>1935000</v>
      </c>
      <c r="Z56" s="169">
        <f t="shared" si="9"/>
        <v>0</v>
      </c>
      <c r="AA56" s="350">
        <f t="shared" si="9"/>
        <v>1945000</v>
      </c>
      <c r="AB56" s="350">
        <f t="shared" si="9"/>
        <v>0</v>
      </c>
    </row>
    <row r="57" spans="1:29" ht="16" thickBot="1">
      <c r="A57" s="225" t="s">
        <v>178</v>
      </c>
      <c r="B57" s="300" t="str">
        <f>'2-0048'!A3</f>
        <v>Договор на охрану поселка</v>
      </c>
      <c r="C57" s="315">
        <f t="shared" si="4"/>
        <v>22800000</v>
      </c>
      <c r="D57" s="315">
        <f t="shared" si="5"/>
        <v>0</v>
      </c>
      <c r="E57" s="310">
        <f>'2-0048'!C3</f>
        <v>1900000</v>
      </c>
      <c r="F57" s="310"/>
      <c r="G57" s="114">
        <f>'2-0048'!D3</f>
        <v>1900000</v>
      </c>
      <c r="H57" s="310"/>
      <c r="I57" s="114">
        <f>'2-0048'!E3</f>
        <v>1900000</v>
      </c>
      <c r="J57" s="310"/>
      <c r="K57" s="114">
        <f>'2-0048'!F3</f>
        <v>1900000</v>
      </c>
      <c r="L57" s="310"/>
      <c r="M57" s="114">
        <f>'2-0048'!G3</f>
        <v>1900000</v>
      </c>
      <c r="N57" s="114"/>
      <c r="O57" s="114">
        <f>'2-0048'!H3</f>
        <v>1900000</v>
      </c>
      <c r="P57" s="114"/>
      <c r="Q57" s="114">
        <f>'2-0048'!I3</f>
        <v>1900000</v>
      </c>
      <c r="R57" s="114"/>
      <c r="S57" s="114">
        <f>'2-0048'!J3</f>
        <v>1900000</v>
      </c>
      <c r="T57" s="114"/>
      <c r="U57" s="114">
        <f>'2-0048'!K3</f>
        <v>1900000</v>
      </c>
      <c r="V57" s="114"/>
      <c r="W57" s="114">
        <f>'2-0048'!L3</f>
        <v>1900000</v>
      </c>
      <c r="X57" s="114"/>
      <c r="Y57" s="114">
        <f>'2-0048'!M3</f>
        <v>1900000</v>
      </c>
      <c r="Z57" s="114"/>
      <c r="AA57" s="348">
        <f>'2-0048'!N3</f>
        <v>1900000</v>
      </c>
      <c r="AB57" s="72"/>
      <c r="AC57" s="6"/>
    </row>
    <row r="58" spans="1:29" ht="16" thickBot="1">
      <c r="A58" s="225" t="s">
        <v>179</v>
      </c>
      <c r="B58" s="173" t="str">
        <f>'2-0049'!A3</f>
        <v>Обслуживание и ремонт КПП</v>
      </c>
      <c r="C58" s="315">
        <f t="shared" si="4"/>
        <v>90000</v>
      </c>
      <c r="D58" s="315">
        <f t="shared" si="5"/>
        <v>0</v>
      </c>
      <c r="E58" s="175">
        <f>'2-0049'!C3</f>
        <v>15000</v>
      </c>
      <c r="F58" s="175"/>
      <c r="G58" s="72">
        <f>'2-0049'!D3</f>
        <v>0</v>
      </c>
      <c r="H58" s="175"/>
      <c r="I58" s="72">
        <f>'2-0049'!E3</f>
        <v>15000</v>
      </c>
      <c r="J58" s="175"/>
      <c r="K58" s="72">
        <f>'2-0049'!F3</f>
        <v>0</v>
      </c>
      <c r="L58" s="175"/>
      <c r="M58" s="72">
        <f>'2-0049'!G3</f>
        <v>15000</v>
      </c>
      <c r="N58" s="72"/>
      <c r="O58" s="72">
        <f>'2-0049'!H3</f>
        <v>0</v>
      </c>
      <c r="P58" s="72"/>
      <c r="Q58" s="72">
        <f>'2-0049'!I3</f>
        <v>15000</v>
      </c>
      <c r="R58" s="72"/>
      <c r="S58" s="72">
        <f>'2-0049'!J3</f>
        <v>0</v>
      </c>
      <c r="T58" s="72"/>
      <c r="U58" s="72">
        <f>'2-0049'!K3</f>
        <v>15000</v>
      </c>
      <c r="V58" s="72"/>
      <c r="W58" s="72">
        <f>'2-0049'!L3</f>
        <v>0</v>
      </c>
      <c r="X58" s="72"/>
      <c r="Y58" s="72">
        <f>'2-0049'!M3</f>
        <v>15000</v>
      </c>
      <c r="Z58" s="72"/>
      <c r="AA58" s="340">
        <f>'2-0049'!N3</f>
        <v>0</v>
      </c>
      <c r="AB58" s="72"/>
      <c r="AC58" s="6"/>
    </row>
    <row r="59" spans="1:29" ht="16" thickBot="1">
      <c r="A59" s="225" t="s">
        <v>180</v>
      </c>
      <c r="B59" s="173" t="str">
        <f>'2-0050'!A3</f>
        <v xml:space="preserve">Расходные материалы для изготовления пропусков </v>
      </c>
      <c r="C59" s="315">
        <f t="shared" si="4"/>
        <v>30000</v>
      </c>
      <c r="D59" s="315">
        <f t="shared" si="5"/>
        <v>0</v>
      </c>
      <c r="E59" s="175">
        <f>'2-0050'!C3</f>
        <v>0</v>
      </c>
      <c r="F59" s="175"/>
      <c r="G59" s="72">
        <f>'2-0050'!D3</f>
        <v>0</v>
      </c>
      <c r="H59" s="175"/>
      <c r="I59" s="72">
        <f>'2-0050'!E3</f>
        <v>10000</v>
      </c>
      <c r="J59" s="175"/>
      <c r="K59" s="72">
        <f>'2-0050'!F3</f>
        <v>0</v>
      </c>
      <c r="L59" s="175"/>
      <c r="M59" s="72">
        <f>'2-0050'!G3</f>
        <v>0</v>
      </c>
      <c r="N59" s="72"/>
      <c r="O59" s="72">
        <f>'2-0050'!H3</f>
        <v>0</v>
      </c>
      <c r="P59" s="72"/>
      <c r="Q59" s="72">
        <f>'2-0050'!I3</f>
        <v>0</v>
      </c>
      <c r="R59" s="72"/>
      <c r="S59" s="72">
        <f>'2-0050'!J3</f>
        <v>10000</v>
      </c>
      <c r="T59" s="72"/>
      <c r="U59" s="72">
        <f>'2-0050'!K3</f>
        <v>0</v>
      </c>
      <c r="V59" s="72"/>
      <c r="W59" s="72">
        <f>'2-0050'!L3</f>
        <v>0</v>
      </c>
      <c r="X59" s="72"/>
      <c r="Y59" s="72">
        <f>'2-0050'!M3</f>
        <v>0</v>
      </c>
      <c r="Z59" s="72"/>
      <c r="AA59" s="340">
        <f>'2-0050'!N3</f>
        <v>10000</v>
      </c>
      <c r="AB59" s="72"/>
      <c r="AC59" s="6"/>
    </row>
    <row r="60" spans="1:29" ht="30" thickBot="1">
      <c r="A60" s="225" t="s">
        <v>181</v>
      </c>
      <c r="B60" s="173" t="str">
        <f>'2-0051'!A3</f>
        <v>Обслуживание   камер системы видеонаблюдения (покупка и ремонт камер, ПО и сервер, работы)</v>
      </c>
      <c r="C60" s="315">
        <f t="shared" si="4"/>
        <v>90000</v>
      </c>
      <c r="D60" s="315">
        <f t="shared" si="5"/>
        <v>0</v>
      </c>
      <c r="E60" s="175">
        <f>'2-0051'!C3</f>
        <v>0</v>
      </c>
      <c r="F60" s="175"/>
      <c r="G60" s="72">
        <f>'2-0051'!D3</f>
        <v>15000</v>
      </c>
      <c r="H60" s="175"/>
      <c r="I60" s="72">
        <f>'2-0051'!E3</f>
        <v>0</v>
      </c>
      <c r="J60" s="175"/>
      <c r="K60" s="72">
        <f>'2-0051'!F3</f>
        <v>15000</v>
      </c>
      <c r="L60" s="175"/>
      <c r="M60" s="72">
        <f>'2-0051'!G3</f>
        <v>0</v>
      </c>
      <c r="N60" s="72"/>
      <c r="O60" s="72">
        <f>'2-0051'!H3</f>
        <v>15000</v>
      </c>
      <c r="P60" s="72"/>
      <c r="Q60" s="72">
        <f>'2-0051'!I3</f>
        <v>0</v>
      </c>
      <c r="R60" s="72"/>
      <c r="S60" s="72">
        <f>'2-0051'!J3</f>
        <v>15000</v>
      </c>
      <c r="T60" s="72"/>
      <c r="U60" s="72">
        <f>'2-0051'!K3</f>
        <v>0</v>
      </c>
      <c r="V60" s="72"/>
      <c r="W60" s="72">
        <f>'2-0051'!L3</f>
        <v>15000</v>
      </c>
      <c r="X60" s="72"/>
      <c r="Y60" s="72">
        <f>'2-0051'!M3</f>
        <v>0</v>
      </c>
      <c r="Z60" s="72"/>
      <c r="AA60" s="340">
        <f>'2-0051'!N3</f>
        <v>15000</v>
      </c>
      <c r="AB60" s="72"/>
      <c r="AC60" s="6"/>
    </row>
    <row r="61" spans="1:29" s="6" customFormat="1" ht="16" thickBot="1">
      <c r="A61" s="369" t="s">
        <v>183</v>
      </c>
      <c r="B61" s="374" t="str">
        <f>'2-0053'!A3</f>
        <v>Обслуживание ОПС (Ремонты, ТО )</v>
      </c>
      <c r="C61" s="315">
        <f t="shared" si="4"/>
        <v>240000</v>
      </c>
      <c r="D61" s="315">
        <f>SUM(F61,H61,J61,L61,N61,P61,R61,T61,V61,X61,Z61,AB61)</f>
        <v>0</v>
      </c>
      <c r="E61" s="375">
        <f>'2-0053'!C3</f>
        <v>20000</v>
      </c>
      <c r="F61" s="375"/>
      <c r="G61" s="376">
        <f>'2-0053'!D3</f>
        <v>20000</v>
      </c>
      <c r="H61" s="375"/>
      <c r="I61" s="376">
        <f>'2-0053'!E3</f>
        <v>20000</v>
      </c>
      <c r="J61" s="375"/>
      <c r="K61" s="376">
        <f>'2-0053'!F3</f>
        <v>20000</v>
      </c>
      <c r="L61" s="375"/>
      <c r="M61" s="376">
        <f>'2-0053'!G3</f>
        <v>20000</v>
      </c>
      <c r="N61" s="376"/>
      <c r="O61" s="376">
        <f>'2-0053'!H3</f>
        <v>20000</v>
      </c>
      <c r="P61" s="376"/>
      <c r="Q61" s="376">
        <f>'2-0053'!I3</f>
        <v>20000</v>
      </c>
      <c r="R61" s="376"/>
      <c r="S61" s="376">
        <f>'2-0053'!J3</f>
        <v>20000</v>
      </c>
      <c r="T61" s="376"/>
      <c r="U61" s="376">
        <f>'2-0053'!K3</f>
        <v>20000</v>
      </c>
      <c r="V61" s="376"/>
      <c r="W61" s="376">
        <f>'2-0053'!L3</f>
        <v>20000</v>
      </c>
      <c r="X61" s="376"/>
      <c r="Y61" s="376">
        <f>'2-0053'!M3</f>
        <v>20000</v>
      </c>
      <c r="Z61" s="376"/>
      <c r="AA61" s="377">
        <f>'2-0053'!N3</f>
        <v>20000</v>
      </c>
      <c r="AB61" s="367"/>
    </row>
    <row r="62" spans="1:29" s="166" customFormat="1" ht="29" thickBot="1">
      <c r="A62" s="115"/>
      <c r="B62" s="299" t="str">
        <f>'2-001'!A51</f>
        <v>Затраты на обслуживание сетей (работы, услуги, материалы (кроме ВЗУ))</v>
      </c>
      <c r="C62" s="314">
        <f t="shared" si="4"/>
        <v>630000</v>
      </c>
      <c r="D62" s="314">
        <f t="shared" si="5"/>
        <v>0</v>
      </c>
      <c r="E62" s="309">
        <f>SUM(E63:E66)</f>
        <v>70000</v>
      </c>
      <c r="F62" s="309">
        <f>SUM(F63:F66)</f>
        <v>0</v>
      </c>
      <c r="G62" s="116">
        <f t="shared" ref="G62:AB62" si="10">SUM(G63:G66)</f>
        <v>35000</v>
      </c>
      <c r="H62" s="309">
        <f>SUM(H63:H66)</f>
        <v>0</v>
      </c>
      <c r="I62" s="116">
        <f t="shared" si="10"/>
        <v>35000</v>
      </c>
      <c r="J62" s="116">
        <f t="shared" si="10"/>
        <v>0</v>
      </c>
      <c r="K62" s="116">
        <f t="shared" si="10"/>
        <v>75000</v>
      </c>
      <c r="L62" s="116">
        <f t="shared" si="10"/>
        <v>0</v>
      </c>
      <c r="M62" s="116">
        <f t="shared" si="10"/>
        <v>70000</v>
      </c>
      <c r="N62" s="116">
        <f t="shared" si="10"/>
        <v>0</v>
      </c>
      <c r="O62" s="116">
        <f t="shared" si="10"/>
        <v>0</v>
      </c>
      <c r="P62" s="116">
        <f t="shared" si="10"/>
        <v>0</v>
      </c>
      <c r="Q62" s="116">
        <f t="shared" si="10"/>
        <v>55000</v>
      </c>
      <c r="R62" s="116">
        <f t="shared" si="10"/>
        <v>0</v>
      </c>
      <c r="S62" s="116">
        <f t="shared" si="10"/>
        <v>35000</v>
      </c>
      <c r="T62" s="116">
        <f t="shared" si="10"/>
        <v>0</v>
      </c>
      <c r="U62" s="116">
        <f t="shared" si="10"/>
        <v>50000</v>
      </c>
      <c r="V62" s="116">
        <f t="shared" si="10"/>
        <v>0</v>
      </c>
      <c r="W62" s="116">
        <f t="shared" si="10"/>
        <v>135000</v>
      </c>
      <c r="X62" s="116">
        <f t="shared" si="10"/>
        <v>0</v>
      </c>
      <c r="Y62" s="116">
        <f t="shared" si="10"/>
        <v>55000</v>
      </c>
      <c r="Z62" s="116">
        <f t="shared" si="10"/>
        <v>0</v>
      </c>
      <c r="AA62" s="345">
        <f t="shared" si="10"/>
        <v>15000</v>
      </c>
      <c r="AB62" s="345">
        <f t="shared" si="10"/>
        <v>0</v>
      </c>
    </row>
    <row r="63" spans="1:29" ht="30" thickBot="1">
      <c r="A63" s="225" t="s">
        <v>184</v>
      </c>
      <c r="B63" s="300" t="str">
        <f>'2-0054'!A3</f>
        <v>Обслуживание сетей Хозяйтсвенно-бытовой канализации  (Модернизация, ремонты, ТО)</v>
      </c>
      <c r="C63" s="315">
        <f t="shared" si="4"/>
        <v>380000</v>
      </c>
      <c r="D63" s="315">
        <f t="shared" si="5"/>
        <v>0</v>
      </c>
      <c r="E63" s="310">
        <f>'2-0054'!C3</f>
        <v>40000</v>
      </c>
      <c r="F63" s="310"/>
      <c r="G63" s="114">
        <f>'2-0054'!D3</f>
        <v>20000</v>
      </c>
      <c r="H63" s="310"/>
      <c r="I63" s="114">
        <f>'2-0054'!E3</f>
        <v>20000</v>
      </c>
      <c r="J63" s="310"/>
      <c r="K63" s="114">
        <f>'2-0054'!F3</f>
        <v>20000</v>
      </c>
      <c r="L63" s="310"/>
      <c r="M63" s="114">
        <f>'2-0054'!G3</f>
        <v>40000</v>
      </c>
      <c r="N63" s="114"/>
      <c r="O63" s="114">
        <f>'2-0054'!H3</f>
        <v>0</v>
      </c>
      <c r="P63" s="114"/>
      <c r="Q63" s="114">
        <f>'2-0054'!I3</f>
        <v>40000</v>
      </c>
      <c r="R63" s="114"/>
      <c r="S63" s="114">
        <f>'2-0054'!J3</f>
        <v>20000</v>
      </c>
      <c r="T63" s="114"/>
      <c r="U63" s="114">
        <f>'2-0054'!K3</f>
        <v>20000</v>
      </c>
      <c r="V63" s="114"/>
      <c r="W63" s="114">
        <f>'2-0054'!L3</f>
        <v>120000</v>
      </c>
      <c r="X63" s="114"/>
      <c r="Y63" s="114">
        <f>'2-0054'!M3</f>
        <v>40000</v>
      </c>
      <c r="Z63" s="114"/>
      <c r="AA63" s="348">
        <f>'2-0054'!N3</f>
        <v>0</v>
      </c>
      <c r="AB63" s="72"/>
      <c r="AC63" s="6"/>
    </row>
    <row r="64" spans="1:29" ht="30" thickBot="1">
      <c r="A64" s="225" t="s">
        <v>185</v>
      </c>
      <c r="B64" s="173" t="str">
        <f>'2-0055'!A3</f>
        <v>Обслуживание сетей пож.водопровода (Модернизация, Ремонты, ТО, документация)</v>
      </c>
      <c r="C64" s="315">
        <f t="shared" si="4"/>
        <v>60000</v>
      </c>
      <c r="D64" s="315">
        <f t="shared" si="5"/>
        <v>0</v>
      </c>
      <c r="E64" s="175">
        <f>'2-0055'!C3</f>
        <v>0</v>
      </c>
      <c r="F64" s="175"/>
      <c r="G64" s="72">
        <f>'2-0055'!D3</f>
        <v>0</v>
      </c>
      <c r="H64" s="175"/>
      <c r="I64" s="72">
        <f>'2-0055'!E3</f>
        <v>0</v>
      </c>
      <c r="J64" s="175"/>
      <c r="K64" s="72">
        <f>'2-0055'!F3</f>
        <v>0</v>
      </c>
      <c r="L64" s="175"/>
      <c r="M64" s="72">
        <f>'2-0055'!G3</f>
        <v>30000</v>
      </c>
      <c r="N64" s="72"/>
      <c r="O64" s="72">
        <f>'2-0055'!H3</f>
        <v>0</v>
      </c>
      <c r="P64" s="72"/>
      <c r="Q64" s="72">
        <f>'2-0055'!I3</f>
        <v>0</v>
      </c>
      <c r="R64" s="72"/>
      <c r="S64" s="72">
        <f>'2-0055'!J3</f>
        <v>0</v>
      </c>
      <c r="T64" s="72"/>
      <c r="U64" s="72">
        <f>'2-0055'!K3</f>
        <v>30000</v>
      </c>
      <c r="V64" s="72"/>
      <c r="W64" s="72">
        <f>'2-0055'!L3</f>
        <v>0</v>
      </c>
      <c r="X64" s="72"/>
      <c r="Y64" s="72">
        <f>'2-0055'!M3</f>
        <v>0</v>
      </c>
      <c r="Z64" s="72"/>
      <c r="AA64" s="340">
        <f>'2-0055'!N3</f>
        <v>0</v>
      </c>
      <c r="AB64" s="72"/>
      <c r="AC64" s="6"/>
    </row>
    <row r="65" spans="1:29" ht="16" thickBot="1">
      <c r="A65" s="225" t="s">
        <v>186</v>
      </c>
      <c r="B65" s="173" t="str">
        <f>'2-0056'!A3</f>
        <v>Расходные материалы (инструменты, расходные материалы)</v>
      </c>
      <c r="C65" s="315">
        <f t="shared" si="4"/>
        <v>150000</v>
      </c>
      <c r="D65" s="315">
        <f t="shared" si="5"/>
        <v>0</v>
      </c>
      <c r="E65" s="175">
        <f>'2-0056'!C3</f>
        <v>30000</v>
      </c>
      <c r="F65" s="175"/>
      <c r="G65" s="175">
        <f>'2-0056'!D3</f>
        <v>15000</v>
      </c>
      <c r="H65" s="175"/>
      <c r="I65" s="175">
        <f>'2-0056'!G3</f>
        <v>15000</v>
      </c>
      <c r="J65" s="175"/>
      <c r="K65" s="175">
        <f>'2-0056'!I3</f>
        <v>15000</v>
      </c>
      <c r="L65" s="175"/>
      <c r="M65" s="175">
        <f>'2-0056'!K3</f>
        <v>0</v>
      </c>
      <c r="N65" s="72"/>
      <c r="O65" s="175">
        <f>'2-0056'!H3</f>
        <v>0</v>
      </c>
      <c r="P65" s="72"/>
      <c r="Q65" s="175">
        <f>'2-0056'!I3</f>
        <v>15000</v>
      </c>
      <c r="R65" s="72"/>
      <c r="S65" s="175">
        <f>'2-0056'!J3</f>
        <v>15000</v>
      </c>
      <c r="T65" s="72"/>
      <c r="U65" s="175">
        <f>'2-0056'!K3</f>
        <v>0</v>
      </c>
      <c r="V65" s="72"/>
      <c r="W65" s="175">
        <f>'2-0056'!L3</f>
        <v>15000</v>
      </c>
      <c r="X65" s="72"/>
      <c r="Y65" s="175">
        <f>'2-0056'!M3</f>
        <v>15000</v>
      </c>
      <c r="Z65" s="72"/>
      <c r="AA65" s="175">
        <f>'2-0056'!N3</f>
        <v>15000</v>
      </c>
      <c r="AB65" s="72"/>
      <c r="AC65" s="6"/>
    </row>
    <row r="66" spans="1:29" ht="16" thickBot="1">
      <c r="A66" s="225" t="s">
        <v>187</v>
      </c>
      <c r="B66" s="287" t="str">
        <f>'2-001'!A55</f>
        <v>Обслуживание ЛОСов (Ремонты, ТО)</v>
      </c>
      <c r="C66" s="315">
        <f t="shared" si="4"/>
        <v>40000</v>
      </c>
      <c r="D66" s="315">
        <f t="shared" si="5"/>
        <v>0</v>
      </c>
      <c r="E66" s="311">
        <f>'2-0057'!C3</f>
        <v>0</v>
      </c>
      <c r="F66" s="311"/>
      <c r="G66" s="113">
        <f>'2-0057'!D3</f>
        <v>0</v>
      </c>
      <c r="H66" s="311"/>
      <c r="I66" s="113">
        <f>'2-0057'!E3</f>
        <v>0</v>
      </c>
      <c r="J66" s="311"/>
      <c r="K66" s="113">
        <f>'2-0057'!F3</f>
        <v>40000</v>
      </c>
      <c r="L66" s="311"/>
      <c r="M66" s="113">
        <f>'2-0057'!G3</f>
        <v>0</v>
      </c>
      <c r="N66" s="113"/>
      <c r="O66" s="113">
        <f>'2-0057'!H3</f>
        <v>0</v>
      </c>
      <c r="P66" s="113"/>
      <c r="Q66" s="113">
        <f>'2-0057'!I3</f>
        <v>0</v>
      </c>
      <c r="R66" s="113"/>
      <c r="S66" s="113">
        <f>'2-0057'!J3</f>
        <v>0</v>
      </c>
      <c r="T66" s="113"/>
      <c r="U66" s="113">
        <f>'2-0057'!K3</f>
        <v>0</v>
      </c>
      <c r="V66" s="113"/>
      <c r="W66" s="113">
        <f>'2-0057'!L3</f>
        <v>0</v>
      </c>
      <c r="X66" s="113"/>
      <c r="Y66" s="113">
        <f>'2-0057'!M3</f>
        <v>0</v>
      </c>
      <c r="Z66" s="113"/>
      <c r="AA66" s="347">
        <f>'2-0057'!N3</f>
        <v>0</v>
      </c>
      <c r="AB66" s="72"/>
      <c r="AC66" s="6"/>
    </row>
    <row r="67" spans="1:29" s="166" customFormat="1" ht="15" thickBot="1">
      <c r="A67" s="115"/>
      <c r="B67" s="299" t="str">
        <f>'2-001'!A56</f>
        <v>Электрохозяйство</v>
      </c>
      <c r="C67" s="314">
        <f t="shared" si="4"/>
        <v>600000</v>
      </c>
      <c r="D67" s="314">
        <f t="shared" si="5"/>
        <v>0</v>
      </c>
      <c r="E67" s="309">
        <f>SUM(E68:E70)</f>
        <v>45000</v>
      </c>
      <c r="F67" s="309">
        <f>SUM(F68:F70)</f>
        <v>0</v>
      </c>
      <c r="G67" s="116">
        <f t="shared" ref="G67:AB67" si="11">SUM(G68:G70)</f>
        <v>15000</v>
      </c>
      <c r="H67" s="309">
        <f>SUM(H68:H70)</f>
        <v>0</v>
      </c>
      <c r="I67" s="116">
        <f t="shared" si="11"/>
        <v>115000</v>
      </c>
      <c r="J67" s="309"/>
      <c r="K67" s="116">
        <f t="shared" si="11"/>
        <v>55000</v>
      </c>
      <c r="L67" s="116">
        <f t="shared" si="11"/>
        <v>0</v>
      </c>
      <c r="M67" s="116">
        <f t="shared" si="11"/>
        <v>50000</v>
      </c>
      <c r="N67" s="116">
        <f t="shared" si="11"/>
        <v>0</v>
      </c>
      <c r="O67" s="116">
        <f t="shared" si="11"/>
        <v>0</v>
      </c>
      <c r="P67" s="116">
        <f t="shared" si="11"/>
        <v>0</v>
      </c>
      <c r="Q67" s="116">
        <f t="shared" si="11"/>
        <v>30000</v>
      </c>
      <c r="R67" s="116">
        <f t="shared" si="11"/>
        <v>0</v>
      </c>
      <c r="S67" s="116">
        <f t="shared" si="11"/>
        <v>15000</v>
      </c>
      <c r="T67" s="116">
        <f t="shared" si="11"/>
        <v>0</v>
      </c>
      <c r="U67" s="116">
        <f t="shared" si="11"/>
        <v>15000</v>
      </c>
      <c r="V67" s="116">
        <f t="shared" si="11"/>
        <v>0</v>
      </c>
      <c r="W67" s="116">
        <f t="shared" si="11"/>
        <v>15000</v>
      </c>
      <c r="X67" s="116">
        <f t="shared" si="11"/>
        <v>0</v>
      </c>
      <c r="Y67" s="116">
        <f t="shared" si="11"/>
        <v>30000</v>
      </c>
      <c r="Z67" s="116">
        <f t="shared" si="11"/>
        <v>0</v>
      </c>
      <c r="AA67" s="345">
        <f t="shared" si="11"/>
        <v>215000</v>
      </c>
      <c r="AB67" s="345">
        <f t="shared" si="11"/>
        <v>0</v>
      </c>
    </row>
    <row r="68" spans="1:29" ht="30" thickBot="1">
      <c r="A68" s="225" t="s">
        <v>188</v>
      </c>
      <c r="B68" s="300" t="str">
        <f>'2-0058'!A3</f>
        <v>Электрохозяйство (Аварийный ремонт, модернизация инженерных сооружений)</v>
      </c>
      <c r="C68" s="315">
        <f t="shared" si="4"/>
        <v>300000</v>
      </c>
      <c r="D68" s="315">
        <f t="shared" si="5"/>
        <v>0</v>
      </c>
      <c r="E68" s="310">
        <f>'2-0058'!C3</f>
        <v>45000</v>
      </c>
      <c r="F68" s="310"/>
      <c r="G68" s="114">
        <f>'2-0058'!D3</f>
        <v>15000</v>
      </c>
      <c r="H68" s="310"/>
      <c r="I68" s="114">
        <f>'2-0058'!E3</f>
        <v>15000</v>
      </c>
      <c r="J68" s="310"/>
      <c r="K68" s="114">
        <f>'2-0058'!F3</f>
        <v>55000</v>
      </c>
      <c r="L68" s="310"/>
      <c r="M68" s="114">
        <f>'2-0058'!G3</f>
        <v>50000</v>
      </c>
      <c r="N68" s="114"/>
      <c r="O68" s="114">
        <f>'2-0058'!H3</f>
        <v>0</v>
      </c>
      <c r="P68" s="114"/>
      <c r="Q68" s="114">
        <f>'2-0058'!I3</f>
        <v>30000</v>
      </c>
      <c r="R68" s="114"/>
      <c r="S68" s="114">
        <f>'2-0058'!J3</f>
        <v>15000</v>
      </c>
      <c r="T68" s="114"/>
      <c r="U68" s="114">
        <f>'2-0058'!K3</f>
        <v>15000</v>
      </c>
      <c r="V68" s="72"/>
      <c r="W68" s="114">
        <f>'2-0058'!L3</f>
        <v>15000</v>
      </c>
      <c r="X68" s="114"/>
      <c r="Y68" s="114">
        <f>'2-0058'!M3</f>
        <v>30000</v>
      </c>
      <c r="Z68" s="114"/>
      <c r="AA68" s="348">
        <f>'2-0058'!N3</f>
        <v>15000</v>
      </c>
      <c r="AB68" s="72"/>
      <c r="AC68" s="6"/>
    </row>
    <row r="69" spans="1:29" s="6" customFormat="1" ht="16" thickBot="1">
      <c r="A69" s="369" t="s">
        <v>190</v>
      </c>
      <c r="B69" s="365" t="str">
        <f>'2-0060'!A3</f>
        <v>Обслуживание сетей нар.освещения (Ремонты, ТО, документация)</v>
      </c>
      <c r="C69" s="315">
        <f t="shared" si="4"/>
        <v>200000</v>
      </c>
      <c r="D69" s="315">
        <f t="shared" si="5"/>
        <v>0</v>
      </c>
      <c r="E69" s="366">
        <f>'2-0060'!C3</f>
        <v>0</v>
      </c>
      <c r="F69" s="366"/>
      <c r="G69" s="367">
        <f>'2-0060'!D3</f>
        <v>0</v>
      </c>
      <c r="H69" s="366"/>
      <c r="I69" s="367">
        <f>'2-0060'!E3</f>
        <v>0</v>
      </c>
      <c r="J69" s="366"/>
      <c r="K69" s="367">
        <f>'2-0060'!F3</f>
        <v>0</v>
      </c>
      <c r="L69" s="366"/>
      <c r="M69" s="367">
        <f>'2-0060'!G3</f>
        <v>0</v>
      </c>
      <c r="N69" s="367"/>
      <c r="O69" s="367">
        <f>'2-0060'!H3</f>
        <v>0</v>
      </c>
      <c r="P69" s="367"/>
      <c r="Q69" s="367">
        <f>'2-0060'!I3</f>
        <v>0</v>
      </c>
      <c r="R69" s="367"/>
      <c r="S69" s="367">
        <f>'2-0060'!J3</f>
        <v>0</v>
      </c>
      <c r="T69" s="367"/>
      <c r="U69" s="367">
        <f>'2-0060'!K3</f>
        <v>0</v>
      </c>
      <c r="V69" s="367"/>
      <c r="W69" s="367">
        <f>'2-0060'!L3</f>
        <v>0</v>
      </c>
      <c r="X69" s="367"/>
      <c r="Y69" s="367">
        <f>'2-0060'!M3</f>
        <v>0</v>
      </c>
      <c r="Z69" s="367"/>
      <c r="AA69" s="368">
        <f>'2-0060'!N3</f>
        <v>200000</v>
      </c>
      <c r="AB69" s="367"/>
    </row>
    <row r="70" spans="1:29" ht="30" thickBot="1">
      <c r="A70" s="225" t="s">
        <v>191</v>
      </c>
      <c r="B70" s="287" t="str">
        <f>'2-0061'!A3</f>
        <v>Мероприятия по переаттестации ( электробезопасность, работа на высоте, работник люльки)</v>
      </c>
      <c r="C70" s="315">
        <f t="shared" si="4"/>
        <v>100000</v>
      </c>
      <c r="D70" s="315">
        <f t="shared" si="5"/>
        <v>0</v>
      </c>
      <c r="E70" s="311">
        <f>'2-0061'!C3</f>
        <v>0</v>
      </c>
      <c r="F70" s="311"/>
      <c r="G70" s="113">
        <f>'2-0061'!D3</f>
        <v>0</v>
      </c>
      <c r="H70" s="311"/>
      <c r="I70" s="113">
        <f>'2-0061'!E3</f>
        <v>100000</v>
      </c>
      <c r="J70" s="311"/>
      <c r="K70" s="113">
        <f>'2-0061'!F3</f>
        <v>0</v>
      </c>
      <c r="L70" s="311"/>
      <c r="M70" s="113">
        <f>'2-0061'!G3</f>
        <v>0</v>
      </c>
      <c r="N70" s="113"/>
      <c r="O70" s="113">
        <f>'2-0061'!H3</f>
        <v>0</v>
      </c>
      <c r="P70" s="113"/>
      <c r="Q70" s="113">
        <f>'2-0061'!I3</f>
        <v>0</v>
      </c>
      <c r="R70" s="113"/>
      <c r="S70" s="113">
        <f>'2-0061'!J3</f>
        <v>0</v>
      </c>
      <c r="T70" s="113"/>
      <c r="U70" s="113">
        <f>'2-0061'!K3</f>
        <v>0</v>
      </c>
      <c r="V70" s="113"/>
      <c r="W70" s="113">
        <f>'2-0061'!L3</f>
        <v>0</v>
      </c>
      <c r="X70" s="113"/>
      <c r="Y70" s="113">
        <f>'2-0061'!M3</f>
        <v>0</v>
      </c>
      <c r="Z70" s="113"/>
      <c r="AA70" s="347">
        <f>'2-0061'!N3</f>
        <v>0</v>
      </c>
      <c r="AB70" s="72"/>
      <c r="AC70" s="6"/>
    </row>
    <row r="71" spans="1:29" s="166" customFormat="1" ht="16" thickBot="1">
      <c r="A71" s="225" t="s">
        <v>192</v>
      </c>
      <c r="B71" s="299" t="str">
        <f>'2-0062'!A3</f>
        <v xml:space="preserve">Имущественные налоги (земельный налог, окружающая среда) </v>
      </c>
      <c r="C71" s="314">
        <f t="shared" si="4"/>
        <v>3186500</v>
      </c>
      <c r="D71" s="314">
        <f t="shared" si="5"/>
        <v>0</v>
      </c>
      <c r="E71" s="309">
        <f>'2-0062'!C3</f>
        <v>650000</v>
      </c>
      <c r="F71" s="309"/>
      <c r="G71" s="116">
        <f>'2-0062'!D3</f>
        <v>107000</v>
      </c>
      <c r="H71" s="309"/>
      <c r="I71" s="116">
        <f>'2-0062'!E3</f>
        <v>697000</v>
      </c>
      <c r="J71" s="309"/>
      <c r="K71" s="116">
        <f>'2-0062'!F3</f>
        <v>0</v>
      </c>
      <c r="L71" s="309"/>
      <c r="M71" s="116">
        <f>'2-0062'!G3</f>
        <v>0</v>
      </c>
      <c r="N71" s="116"/>
      <c r="O71" s="116">
        <f>'2-0062'!H3</f>
        <v>650000</v>
      </c>
      <c r="P71" s="116"/>
      <c r="Q71" s="116">
        <f>'2-0062'!I3</f>
        <v>0</v>
      </c>
      <c r="R71" s="116"/>
      <c r="S71" s="116">
        <f>'2-0062'!J3</f>
        <v>0</v>
      </c>
      <c r="T71" s="116"/>
      <c r="U71" s="116">
        <f>'2-0062'!K3</f>
        <v>650000</v>
      </c>
      <c r="V71" s="116"/>
      <c r="W71" s="116">
        <f>'2-0062'!L3</f>
        <v>337500</v>
      </c>
      <c r="X71" s="116"/>
      <c r="Y71" s="116">
        <f>'2-0062'!M3</f>
        <v>95000</v>
      </c>
      <c r="Z71" s="116"/>
      <c r="AA71" s="345">
        <f>'2-0062'!N3</f>
        <v>0</v>
      </c>
      <c r="AB71" s="345"/>
    </row>
    <row r="72" spans="1:29" s="166" customFormat="1" ht="16" thickBot="1">
      <c r="A72" s="225" t="s">
        <v>193</v>
      </c>
      <c r="B72" s="299" t="str">
        <f>'2-0063'!A3</f>
        <v>Общепоселковые Мероприятия</v>
      </c>
      <c r="C72" s="314">
        <f t="shared" si="4"/>
        <v>360000</v>
      </c>
      <c r="D72" s="314">
        <f t="shared" si="5"/>
        <v>0</v>
      </c>
      <c r="E72" s="309">
        <f>'2-0063'!C3</f>
        <v>80000</v>
      </c>
      <c r="F72" s="309"/>
      <c r="G72" s="116">
        <f>'2-0063'!D3</f>
        <v>0</v>
      </c>
      <c r="H72" s="309"/>
      <c r="I72" s="116">
        <f>'2-0063'!E3</f>
        <v>100000</v>
      </c>
      <c r="J72" s="309"/>
      <c r="K72" s="116">
        <f>'2-0063'!F3</f>
        <v>0</v>
      </c>
      <c r="L72" s="309"/>
      <c r="M72" s="116">
        <f>'2-0063'!G3</f>
        <v>100000</v>
      </c>
      <c r="N72" s="116"/>
      <c r="O72" s="116">
        <f>'2-0063'!H3</f>
        <v>0</v>
      </c>
      <c r="P72" s="116"/>
      <c r="Q72" s="116">
        <f>'2-0063'!I3</f>
        <v>0</v>
      </c>
      <c r="R72" s="116"/>
      <c r="S72" s="116">
        <f>'2-0063'!J3</f>
        <v>0</v>
      </c>
      <c r="T72" s="116"/>
      <c r="U72" s="116">
        <f>'2-0063'!K3</f>
        <v>0</v>
      </c>
      <c r="V72" s="116"/>
      <c r="W72" s="116">
        <f>'2-0063'!L3</f>
        <v>0</v>
      </c>
      <c r="X72" s="116"/>
      <c r="Y72" s="116">
        <f>'2-0063'!M3</f>
        <v>0</v>
      </c>
      <c r="Z72" s="116"/>
      <c r="AA72" s="345">
        <f>'2-0063'!N3</f>
        <v>80000</v>
      </c>
      <c r="AB72" s="345"/>
    </row>
    <row r="73" spans="1:29" s="166" customFormat="1" ht="15" thickBot="1">
      <c r="A73" s="115"/>
      <c r="B73" s="299" t="str">
        <f>'2-001'!A63</f>
        <v>Интернет</v>
      </c>
      <c r="C73" s="314">
        <f t="shared" si="4"/>
        <v>0</v>
      </c>
      <c r="D73" s="314">
        <f t="shared" si="5"/>
        <v>0</v>
      </c>
      <c r="E73" s="309">
        <f>SUM(E74:E76)</f>
        <v>0</v>
      </c>
      <c r="F73" s="116">
        <f t="shared" ref="F73:AA73" si="12">SUM(F74:F76)</f>
        <v>0</v>
      </c>
      <c r="G73" s="116">
        <f t="shared" si="12"/>
        <v>0</v>
      </c>
      <c r="H73" s="116">
        <f t="shared" si="12"/>
        <v>0</v>
      </c>
      <c r="I73" s="116">
        <f t="shared" si="12"/>
        <v>0</v>
      </c>
      <c r="J73" s="116">
        <f t="shared" si="12"/>
        <v>0</v>
      </c>
      <c r="K73" s="116">
        <f t="shared" si="12"/>
        <v>0</v>
      </c>
      <c r="L73" s="116">
        <f t="shared" si="12"/>
        <v>0</v>
      </c>
      <c r="M73" s="116">
        <f t="shared" si="12"/>
        <v>0</v>
      </c>
      <c r="N73" s="116">
        <f t="shared" si="12"/>
        <v>0</v>
      </c>
      <c r="O73" s="116">
        <f t="shared" si="12"/>
        <v>0</v>
      </c>
      <c r="P73" s="116">
        <f t="shared" si="12"/>
        <v>0</v>
      </c>
      <c r="Q73" s="116">
        <f t="shared" si="12"/>
        <v>0</v>
      </c>
      <c r="R73" s="116">
        <f t="shared" si="12"/>
        <v>0</v>
      </c>
      <c r="S73" s="116">
        <f t="shared" si="12"/>
        <v>0</v>
      </c>
      <c r="T73" s="116">
        <f t="shared" si="12"/>
        <v>0</v>
      </c>
      <c r="U73" s="116">
        <f t="shared" si="12"/>
        <v>0</v>
      </c>
      <c r="V73" s="116">
        <f t="shared" si="12"/>
        <v>0</v>
      </c>
      <c r="W73" s="116">
        <f t="shared" si="12"/>
        <v>0</v>
      </c>
      <c r="X73" s="116">
        <f t="shared" si="12"/>
        <v>0</v>
      </c>
      <c r="Y73" s="116">
        <f t="shared" si="12"/>
        <v>0</v>
      </c>
      <c r="Z73" s="116">
        <f t="shared" si="12"/>
        <v>0</v>
      </c>
      <c r="AA73" s="345">
        <f t="shared" si="12"/>
        <v>0</v>
      </c>
      <c r="AB73" s="345">
        <f t="shared" ref="AB73" si="13">SUM(AB74:AB76)</f>
        <v>0</v>
      </c>
    </row>
    <row r="74" spans="1:29" ht="16" thickBot="1">
      <c r="A74" s="225" t="s">
        <v>194</v>
      </c>
      <c r="B74" s="300" t="str">
        <f>'2-0064'!A3</f>
        <v>Обслуживание интернета</v>
      </c>
      <c r="C74" s="315">
        <f t="shared" si="4"/>
        <v>0</v>
      </c>
      <c r="D74" s="315">
        <f t="shared" si="5"/>
        <v>0</v>
      </c>
      <c r="E74" s="310">
        <f>'2-0064'!C3</f>
        <v>0</v>
      </c>
      <c r="F74" s="310"/>
      <c r="G74" s="114">
        <f>'2-0064'!D3</f>
        <v>0</v>
      </c>
      <c r="H74" s="310"/>
      <c r="I74" s="114">
        <f>'2-0064'!E3</f>
        <v>0</v>
      </c>
      <c r="J74" s="310"/>
      <c r="K74" s="114">
        <f>'2-0064'!F3</f>
        <v>0</v>
      </c>
      <c r="L74" s="310"/>
      <c r="M74" s="114">
        <f>'2-0064'!G3</f>
        <v>0</v>
      </c>
      <c r="N74" s="114"/>
      <c r="O74" s="114">
        <f>'2-0064'!H3</f>
        <v>0</v>
      </c>
      <c r="P74" s="114"/>
      <c r="Q74" s="114">
        <f>'2-0064'!I3</f>
        <v>0</v>
      </c>
      <c r="R74" s="114"/>
      <c r="S74" s="114">
        <f>'2-0064'!J3</f>
        <v>0</v>
      </c>
      <c r="T74" s="114"/>
      <c r="U74" s="114">
        <f>'2-0064'!K3</f>
        <v>0</v>
      </c>
      <c r="V74" s="114"/>
      <c r="W74" s="114">
        <f>'2-0064'!L3</f>
        <v>0</v>
      </c>
      <c r="X74" s="114"/>
      <c r="Y74" s="114">
        <f>'2-0064'!M3</f>
        <v>0</v>
      </c>
      <c r="Z74" s="114"/>
      <c r="AA74" s="348">
        <f>'2-0064'!N3</f>
        <v>0</v>
      </c>
      <c r="AB74" s="72"/>
      <c r="AC74" s="6"/>
    </row>
    <row r="75" spans="1:29" ht="16" thickBot="1">
      <c r="A75" s="225" t="s">
        <v>195</v>
      </c>
      <c r="B75" s="173" t="str">
        <f>'2-0065'!A3</f>
        <v>Модернизация, условия лицензирования</v>
      </c>
      <c r="C75" s="315">
        <f t="shared" si="4"/>
        <v>0</v>
      </c>
      <c r="D75" s="315">
        <f t="shared" si="5"/>
        <v>0</v>
      </c>
      <c r="E75" s="175">
        <f>'2-0065'!C3</f>
        <v>0</v>
      </c>
      <c r="F75" s="175"/>
      <c r="G75" s="72">
        <f>'2-0065'!D3</f>
        <v>0</v>
      </c>
      <c r="H75" s="175"/>
      <c r="I75" s="72">
        <f>'2-0065'!E3</f>
        <v>0</v>
      </c>
      <c r="J75" s="175"/>
      <c r="K75" s="72">
        <f>'2-0065'!F3</f>
        <v>0</v>
      </c>
      <c r="L75" s="175"/>
      <c r="M75" s="72">
        <f>'2-0065'!G3</f>
        <v>0</v>
      </c>
      <c r="N75" s="72"/>
      <c r="O75" s="72">
        <f>'2-0065'!H3</f>
        <v>0</v>
      </c>
      <c r="P75" s="72"/>
      <c r="Q75" s="72">
        <f>'2-0065'!I3</f>
        <v>0</v>
      </c>
      <c r="R75" s="72"/>
      <c r="S75" s="72">
        <f>'2-0065'!J3</f>
        <v>0</v>
      </c>
      <c r="T75" s="72"/>
      <c r="U75" s="72">
        <f>'2-0065'!K3</f>
        <v>0</v>
      </c>
      <c r="V75" s="72"/>
      <c r="W75" s="72">
        <f>'2-0065'!L3</f>
        <v>0</v>
      </c>
      <c r="X75" s="72"/>
      <c r="Y75" s="72">
        <f>'2-0065'!M3</f>
        <v>0</v>
      </c>
      <c r="Z75" s="72"/>
      <c r="AA75" s="340">
        <f>'2-0065'!N3</f>
        <v>0</v>
      </c>
      <c r="AB75" s="72"/>
      <c r="AC75" s="6"/>
    </row>
    <row r="76" spans="1:29" ht="16" thickBot="1">
      <c r="A76" s="225" t="s">
        <v>196</v>
      </c>
      <c r="B76" s="287" t="str">
        <f>'2-0066'!A3</f>
        <v>Кондиционирование серверной</v>
      </c>
      <c r="C76" s="315">
        <f t="shared" si="4"/>
        <v>0</v>
      </c>
      <c r="D76" s="315">
        <f t="shared" si="5"/>
        <v>0</v>
      </c>
      <c r="E76" s="311">
        <f>'2-0066'!C3</f>
        <v>0</v>
      </c>
      <c r="F76" s="311"/>
      <c r="G76" s="113">
        <f>'2-0066'!D3</f>
        <v>0</v>
      </c>
      <c r="H76" s="311"/>
      <c r="I76" s="113">
        <f>'2-0066'!E3</f>
        <v>0</v>
      </c>
      <c r="J76" s="311"/>
      <c r="K76" s="113">
        <f>'2-0066'!F3</f>
        <v>0</v>
      </c>
      <c r="L76" s="311"/>
      <c r="M76" s="113">
        <f>'2-0066'!G3</f>
        <v>0</v>
      </c>
      <c r="N76" s="113"/>
      <c r="O76" s="113">
        <f>'2-0066'!H3</f>
        <v>0</v>
      </c>
      <c r="P76" s="113"/>
      <c r="Q76" s="113">
        <f>'2-0066'!I3</f>
        <v>0</v>
      </c>
      <c r="R76" s="113"/>
      <c r="S76" s="113">
        <f>'2-0066'!J3</f>
        <v>0</v>
      </c>
      <c r="T76" s="113"/>
      <c r="U76" s="113">
        <f>'2-0066'!K3</f>
        <v>0</v>
      </c>
      <c r="V76" s="113"/>
      <c r="W76" s="113">
        <f>'2-0066'!L3</f>
        <v>0</v>
      </c>
      <c r="X76" s="113"/>
      <c r="Y76" s="113">
        <f>'2-0066'!M3</f>
        <v>0</v>
      </c>
      <c r="Z76" s="113"/>
      <c r="AA76" s="347">
        <f>'2-0066'!N3</f>
        <v>0</v>
      </c>
      <c r="AB76" s="72"/>
      <c r="AC76" s="6"/>
    </row>
    <row r="77" spans="1:29" s="166" customFormat="1" ht="15" thickBot="1">
      <c r="A77" s="172"/>
      <c r="B77" s="299" t="str">
        <f>'2-001'!A67</f>
        <v xml:space="preserve"> ВЗУ</v>
      </c>
      <c r="C77" s="314">
        <f t="shared" si="4"/>
        <v>1020000</v>
      </c>
      <c r="D77" s="314">
        <f t="shared" si="5"/>
        <v>0</v>
      </c>
      <c r="E77" s="309">
        <f>SUM(E78:E81)</f>
        <v>110000</v>
      </c>
      <c r="F77" s="309">
        <f>SUM(F78:F81)</f>
        <v>0</v>
      </c>
      <c r="G77" s="116">
        <f t="shared" ref="G77:AB77" si="14">SUM(G78:G81)</f>
        <v>40000</v>
      </c>
      <c r="H77" s="116">
        <f t="shared" si="14"/>
        <v>0</v>
      </c>
      <c r="I77" s="116">
        <f t="shared" si="14"/>
        <v>90000</v>
      </c>
      <c r="J77" s="116">
        <f t="shared" si="14"/>
        <v>0</v>
      </c>
      <c r="K77" s="116">
        <f t="shared" si="14"/>
        <v>80000</v>
      </c>
      <c r="L77" s="116">
        <f t="shared" si="14"/>
        <v>0</v>
      </c>
      <c r="M77" s="116">
        <f t="shared" si="14"/>
        <v>105000</v>
      </c>
      <c r="N77" s="116">
        <f t="shared" si="14"/>
        <v>0</v>
      </c>
      <c r="O77" s="116">
        <f t="shared" si="14"/>
        <v>25000</v>
      </c>
      <c r="P77" s="116">
        <f t="shared" si="14"/>
        <v>0</v>
      </c>
      <c r="Q77" s="116">
        <f t="shared" si="14"/>
        <v>230000</v>
      </c>
      <c r="R77" s="116">
        <f t="shared" si="14"/>
        <v>0</v>
      </c>
      <c r="S77" s="116">
        <f t="shared" si="14"/>
        <v>40000</v>
      </c>
      <c r="T77" s="116">
        <f t="shared" si="14"/>
        <v>0</v>
      </c>
      <c r="U77" s="116">
        <f t="shared" si="14"/>
        <v>90000</v>
      </c>
      <c r="V77" s="116">
        <f t="shared" si="14"/>
        <v>0</v>
      </c>
      <c r="W77" s="116">
        <f t="shared" si="14"/>
        <v>95000</v>
      </c>
      <c r="X77" s="116">
        <f t="shared" si="14"/>
        <v>0</v>
      </c>
      <c r="Y77" s="116">
        <f t="shared" si="14"/>
        <v>55000</v>
      </c>
      <c r="Z77" s="116"/>
      <c r="AA77" s="345">
        <f t="shared" si="14"/>
        <v>60000</v>
      </c>
      <c r="AB77" s="345">
        <f t="shared" si="14"/>
        <v>0</v>
      </c>
    </row>
    <row r="78" spans="1:29" ht="16" thickBot="1">
      <c r="A78" s="225" t="s">
        <v>197</v>
      </c>
      <c r="B78" s="300" t="str">
        <f>'2-0067'!A3</f>
        <v>Проектирование и модернизация ВЗУ в т.ч. ТО</v>
      </c>
      <c r="C78" s="315">
        <f t="shared" ref="C78:D83" si="15">SUM(E78,G78,I78,K78,M78,O78,Q78,S78,U78,W78,Y78,AA78)</f>
        <v>410000</v>
      </c>
      <c r="D78" s="315">
        <f t="shared" si="15"/>
        <v>0</v>
      </c>
      <c r="E78" s="310">
        <f>'2-0067'!C3</f>
        <v>30000</v>
      </c>
      <c r="F78" s="310"/>
      <c r="G78" s="114">
        <f>'2-0067'!D3</f>
        <v>0</v>
      </c>
      <c r="H78" s="310"/>
      <c r="I78" s="114">
        <f>'2-0067'!E3</f>
        <v>50000</v>
      </c>
      <c r="J78" s="310"/>
      <c r="K78" s="114">
        <f>'2-0067'!F3</f>
        <v>30000</v>
      </c>
      <c r="L78" s="310"/>
      <c r="M78" s="114">
        <f>'2-0067'!G3</f>
        <v>50000</v>
      </c>
      <c r="N78" s="114"/>
      <c r="O78" s="114">
        <f>'2-0067'!H3</f>
        <v>0</v>
      </c>
      <c r="P78" s="114"/>
      <c r="Q78" s="114">
        <f>'2-0067'!I3</f>
        <v>150000</v>
      </c>
      <c r="R78" s="114"/>
      <c r="S78" s="114">
        <f>'2-0067'!J3</f>
        <v>0</v>
      </c>
      <c r="T78" s="114"/>
      <c r="U78" s="114">
        <f>'2-0067'!K3</f>
        <v>50000</v>
      </c>
      <c r="V78" s="114"/>
      <c r="W78" s="114">
        <f>'2-0067'!L3</f>
        <v>30000</v>
      </c>
      <c r="X78" s="114"/>
      <c r="Y78" s="114">
        <f>'2-0067'!M3</f>
        <v>0</v>
      </c>
      <c r="Z78" s="114"/>
      <c r="AA78" s="348">
        <f>'2-0067'!N3</f>
        <v>20000</v>
      </c>
      <c r="AB78" s="72"/>
      <c r="AC78" s="6"/>
    </row>
    <row r="79" spans="1:29" ht="16" thickBot="1">
      <c r="A79" s="225" t="s">
        <v>198</v>
      </c>
      <c r="B79" s="173" t="str">
        <f>'2-0068'!A3</f>
        <v>Водный налог</v>
      </c>
      <c r="C79" s="315">
        <f t="shared" si="15"/>
        <v>100000</v>
      </c>
      <c r="D79" s="315">
        <f t="shared" si="15"/>
        <v>0</v>
      </c>
      <c r="E79" s="175">
        <f>'2-0068'!C3</f>
        <v>25000</v>
      </c>
      <c r="F79" s="175"/>
      <c r="G79" s="72">
        <f>'2-0068'!D3</f>
        <v>0</v>
      </c>
      <c r="H79" s="175"/>
      <c r="I79" s="72">
        <f>'2-0068'!E3</f>
        <v>0</v>
      </c>
      <c r="J79" s="175"/>
      <c r="K79" s="72">
        <f>'2-0068'!F3</f>
        <v>25000</v>
      </c>
      <c r="L79" s="175"/>
      <c r="M79" s="72">
        <f>'2-0068'!G3</f>
        <v>0</v>
      </c>
      <c r="N79" s="72"/>
      <c r="O79" s="72">
        <f>'2-0068'!H3</f>
        <v>0</v>
      </c>
      <c r="P79" s="72"/>
      <c r="Q79" s="72">
        <f>'2-0068'!I3</f>
        <v>25000</v>
      </c>
      <c r="R79" s="72"/>
      <c r="S79" s="72">
        <f>'2-0068'!J3</f>
        <v>0</v>
      </c>
      <c r="T79" s="72"/>
      <c r="U79" s="72">
        <f>'2-0068'!K3</f>
        <v>0</v>
      </c>
      <c r="V79" s="72"/>
      <c r="W79" s="72">
        <f>'2-0068'!L3</f>
        <v>25000</v>
      </c>
      <c r="X79" s="72"/>
      <c r="Y79" s="72">
        <f>'2-0068'!M3</f>
        <v>0</v>
      </c>
      <c r="Z79" s="72"/>
      <c r="AA79" s="340">
        <f>'2-0068'!N3</f>
        <v>0</v>
      </c>
      <c r="AB79" s="72"/>
      <c r="AC79" s="6"/>
    </row>
    <row r="80" spans="1:29" ht="16" thickBot="1">
      <c r="A80" s="225" t="s">
        <v>199</v>
      </c>
      <c r="B80" s="173" t="str">
        <f>'2-0069'!A3</f>
        <v>Анализ воды</v>
      </c>
      <c r="C80" s="315">
        <f t="shared" si="15"/>
        <v>300000</v>
      </c>
      <c r="D80" s="315">
        <f t="shared" si="15"/>
        <v>0</v>
      </c>
      <c r="E80" s="175">
        <f>'2-0069'!C3</f>
        <v>25000</v>
      </c>
      <c r="F80" s="175"/>
      <c r="G80" s="72">
        <f>'2-0069'!D3</f>
        <v>25000</v>
      </c>
      <c r="H80" s="175"/>
      <c r="I80" s="72">
        <f>'2-0069'!E3</f>
        <v>25000</v>
      </c>
      <c r="J80" s="175"/>
      <c r="K80" s="72">
        <f>'2-0069'!F3</f>
        <v>25000</v>
      </c>
      <c r="L80" s="175"/>
      <c r="M80" s="72">
        <f>'2-0069'!G3</f>
        <v>25000</v>
      </c>
      <c r="N80" s="72"/>
      <c r="O80" s="72">
        <f>'2-0069'!H3</f>
        <v>25000</v>
      </c>
      <c r="P80" s="72"/>
      <c r="Q80" s="72">
        <f>'2-0069'!I3</f>
        <v>25000</v>
      </c>
      <c r="R80" s="72"/>
      <c r="S80" s="72">
        <f>'2-0069'!J3</f>
        <v>25000</v>
      </c>
      <c r="T80" s="72"/>
      <c r="U80" s="72">
        <f>'2-0069'!K3</f>
        <v>25000</v>
      </c>
      <c r="V80" s="72"/>
      <c r="W80" s="72">
        <f>'2-0069'!L3</f>
        <v>25000</v>
      </c>
      <c r="X80" s="72"/>
      <c r="Y80" s="72">
        <f>'2-0069'!M3</f>
        <v>25000</v>
      </c>
      <c r="Z80" s="72"/>
      <c r="AA80" s="340">
        <f>'2-0069'!N3</f>
        <v>25000</v>
      </c>
      <c r="AB80" s="72"/>
      <c r="AC80" s="6"/>
    </row>
    <row r="81" spans="1:29" s="6" customFormat="1" ht="16" thickBot="1">
      <c r="A81" s="369" t="s">
        <v>200</v>
      </c>
      <c r="B81" s="374" t="str">
        <f>'2-0070'!A3</f>
        <v>Обслуживание сетей водоснабжения (материалы, инструмент,  ремонт)</v>
      </c>
      <c r="C81" s="315">
        <f t="shared" si="15"/>
        <v>210000</v>
      </c>
      <c r="D81" s="315">
        <f t="shared" si="15"/>
        <v>0</v>
      </c>
      <c r="E81" s="375">
        <f>'2-0070'!C3</f>
        <v>30000</v>
      </c>
      <c r="F81" s="375"/>
      <c r="G81" s="375">
        <f>'2-0070'!D3</f>
        <v>15000</v>
      </c>
      <c r="H81" s="375"/>
      <c r="I81" s="375">
        <f>'2-0070'!E3</f>
        <v>15000</v>
      </c>
      <c r="J81" s="375"/>
      <c r="K81" s="375">
        <f>'2-0070'!F3</f>
        <v>0</v>
      </c>
      <c r="L81" s="375"/>
      <c r="M81" s="375">
        <f>'2-0070'!G3</f>
        <v>30000</v>
      </c>
      <c r="N81" s="375"/>
      <c r="O81" s="375">
        <f>'2-0070'!H3</f>
        <v>0</v>
      </c>
      <c r="P81" s="375"/>
      <c r="Q81" s="375">
        <f>'2-0070'!I3</f>
        <v>30000</v>
      </c>
      <c r="R81" s="375"/>
      <c r="S81" s="375">
        <f>'2-0070'!J3</f>
        <v>15000</v>
      </c>
      <c r="T81" s="375"/>
      <c r="U81" s="375">
        <f>'2-0070'!K3</f>
        <v>15000</v>
      </c>
      <c r="V81" s="375"/>
      <c r="W81" s="375">
        <f>'2-0070'!L3</f>
        <v>15000</v>
      </c>
      <c r="X81" s="375"/>
      <c r="Y81" s="375">
        <f>'2-0070'!M3</f>
        <v>30000</v>
      </c>
      <c r="Z81" s="375"/>
      <c r="AA81" s="378">
        <f>'2-0070'!N3</f>
        <v>15000</v>
      </c>
      <c r="AB81" s="367"/>
    </row>
    <row r="82" spans="1:29" ht="16" thickBot="1">
      <c r="A82" s="285" t="s">
        <v>234</v>
      </c>
      <c r="B82" s="303" t="s">
        <v>271</v>
      </c>
      <c r="C82" s="314">
        <f t="shared" si="15"/>
        <v>600000</v>
      </c>
      <c r="D82" s="314">
        <f t="shared" si="15"/>
        <v>0</v>
      </c>
      <c r="E82" s="309">
        <f>'2-0071'!C3</f>
        <v>50000</v>
      </c>
      <c r="F82" s="309"/>
      <c r="G82" s="309">
        <f>'2-0071'!D3</f>
        <v>50000</v>
      </c>
      <c r="H82" s="309"/>
      <c r="I82" s="309">
        <f>'2-0071'!E3</f>
        <v>50000</v>
      </c>
      <c r="J82" s="309"/>
      <c r="K82" s="309">
        <f>'2-0071'!F3</f>
        <v>50000</v>
      </c>
      <c r="L82" s="309"/>
      <c r="M82" s="309">
        <f>'2-0071'!G3</f>
        <v>50000</v>
      </c>
      <c r="N82" s="309"/>
      <c r="O82" s="309">
        <f>'2-0071'!H3</f>
        <v>50000</v>
      </c>
      <c r="P82" s="309"/>
      <c r="Q82" s="309">
        <f>'2-0071'!I3</f>
        <v>50000</v>
      </c>
      <c r="R82" s="309"/>
      <c r="S82" s="309">
        <f>'2-0071'!J3</f>
        <v>50000</v>
      </c>
      <c r="T82" s="309"/>
      <c r="U82" s="309">
        <f>'2-0071'!K3</f>
        <v>50000</v>
      </c>
      <c r="V82" s="309"/>
      <c r="W82" s="309">
        <f>'2-0071'!L3</f>
        <v>50000</v>
      </c>
      <c r="X82" s="309"/>
      <c r="Y82" s="309">
        <f>'2-0071'!M3</f>
        <v>50000</v>
      </c>
      <c r="Z82" s="331"/>
      <c r="AA82" s="331">
        <f>'2-0071'!N3</f>
        <v>50000</v>
      </c>
      <c r="AB82" s="101"/>
      <c r="AC82" s="6"/>
    </row>
    <row r="83" spans="1:29" ht="16" thickBot="1">
      <c r="A83" s="285"/>
      <c r="B83" s="303" t="s">
        <v>256</v>
      </c>
      <c r="C83" s="314">
        <f t="shared" si="15"/>
        <v>0</v>
      </c>
      <c r="D83" s="314">
        <f t="shared" si="15"/>
        <v>0</v>
      </c>
      <c r="E83" s="309">
        <f>'2-0071'!C4</f>
        <v>0</v>
      </c>
      <c r="F83" s="309"/>
      <c r="G83" s="309">
        <f>'2-0071'!D4</f>
        <v>0</v>
      </c>
      <c r="H83" s="309"/>
      <c r="I83" s="309">
        <f>'2-0071'!E4</f>
        <v>0</v>
      </c>
      <c r="J83" s="309"/>
      <c r="K83" s="309">
        <f>'2-0071'!F4</f>
        <v>0</v>
      </c>
      <c r="L83" s="309"/>
      <c r="M83" s="309">
        <f>'2-0071'!G4</f>
        <v>0</v>
      </c>
      <c r="N83" s="309"/>
      <c r="O83" s="309">
        <f>'2-0071'!H4</f>
        <v>0</v>
      </c>
      <c r="P83" s="309"/>
      <c r="Q83" s="309">
        <f>'2-0071'!I4</f>
        <v>0</v>
      </c>
      <c r="R83" s="309"/>
      <c r="S83" s="309">
        <f>'2-0071'!J4</f>
        <v>0</v>
      </c>
      <c r="T83" s="309"/>
      <c r="U83" s="309">
        <f>'2-0071'!K4</f>
        <v>0</v>
      </c>
      <c r="V83" s="309"/>
      <c r="W83" s="309">
        <f>'2-0071'!L4</f>
        <v>0</v>
      </c>
      <c r="X83" s="309"/>
      <c r="Y83" s="309">
        <f>'2-0071'!M4</f>
        <v>0</v>
      </c>
      <c r="Z83" s="331"/>
      <c r="AA83" s="331"/>
      <c r="AB83" s="101"/>
      <c r="AC83" s="6"/>
    </row>
    <row r="84" spans="1:29" s="45" customFormat="1" ht="15" thickBot="1">
      <c r="A84" s="288">
        <v>3</v>
      </c>
      <c r="B84" s="304" t="s">
        <v>20</v>
      </c>
      <c r="C84" s="362"/>
      <c r="D84" s="362"/>
      <c r="E84" s="176"/>
      <c r="F84" s="176"/>
      <c r="G84" s="77"/>
      <c r="H84" s="176"/>
      <c r="I84" s="77"/>
      <c r="J84" s="176"/>
      <c r="K84" s="77"/>
      <c r="L84" s="176"/>
      <c r="M84" s="77">
        <v>5000000</v>
      </c>
      <c r="N84" s="77">
        <v>5000000</v>
      </c>
      <c r="O84" s="77">
        <v>5000000</v>
      </c>
      <c r="P84" s="77">
        <v>5000000</v>
      </c>
      <c r="Q84" s="77">
        <v>10000000</v>
      </c>
      <c r="R84" s="77">
        <v>10000000</v>
      </c>
      <c r="S84" s="77">
        <v>10000000</v>
      </c>
      <c r="T84" s="77">
        <v>10000000</v>
      </c>
      <c r="U84" s="77">
        <v>10000000</v>
      </c>
      <c r="V84" s="77">
        <v>10000000</v>
      </c>
      <c r="W84" s="77">
        <v>10000000</v>
      </c>
      <c r="X84" s="77"/>
      <c r="Y84" s="77">
        <v>10000000</v>
      </c>
      <c r="Z84" s="77"/>
      <c r="AA84" s="351">
        <v>10000000</v>
      </c>
      <c r="AB84" s="77"/>
      <c r="AC84" s="6"/>
    </row>
    <row r="85" spans="1:29" ht="14" thickBot="1">
      <c r="A85" s="289"/>
      <c r="B85" s="297"/>
      <c r="C85" s="363"/>
      <c r="D85" s="363"/>
      <c r="E85" s="78"/>
      <c r="F85" s="78"/>
      <c r="G85" s="79"/>
      <c r="H85" s="78"/>
      <c r="I85" s="79"/>
      <c r="J85" s="78"/>
      <c r="K85" s="79"/>
      <c r="L85" s="78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352"/>
      <c r="AB85" s="355"/>
    </row>
    <row r="86" spans="1:29" ht="15" thickBot="1">
      <c r="A86" s="71">
        <v>4</v>
      </c>
      <c r="B86" s="305" t="s">
        <v>233</v>
      </c>
      <c r="C86" s="364" t="e">
        <f>SUM(E86:AA86)</f>
        <v>#REF!</v>
      </c>
      <c r="D86" s="364"/>
      <c r="E86" s="177" t="e">
        <f>SUM(E16-E19)</f>
        <v>#REF!</v>
      </c>
      <c r="F86" s="177"/>
      <c r="G86" s="177" t="e">
        <f t="shared" ref="G86:AA86" si="16">SUM(G16-G19)</f>
        <v>#REF!</v>
      </c>
      <c r="H86" s="177"/>
      <c r="I86" s="177" t="e">
        <f t="shared" si="16"/>
        <v>#REF!</v>
      </c>
      <c r="J86" s="177"/>
      <c r="K86" s="177" t="e">
        <f t="shared" si="16"/>
        <v>#REF!</v>
      </c>
      <c r="L86" s="177"/>
      <c r="M86" s="177" t="e">
        <f t="shared" si="16"/>
        <v>#REF!</v>
      </c>
      <c r="N86" s="177"/>
      <c r="O86" s="177" t="e">
        <f t="shared" si="16"/>
        <v>#REF!</v>
      </c>
      <c r="P86" s="177"/>
      <c r="Q86" s="177" t="e">
        <f t="shared" si="16"/>
        <v>#REF!</v>
      </c>
      <c r="R86" s="177"/>
      <c r="S86" s="177" t="e">
        <f t="shared" si="16"/>
        <v>#REF!</v>
      </c>
      <c r="T86" s="177"/>
      <c r="U86" s="177" t="e">
        <f t="shared" si="16"/>
        <v>#REF!</v>
      </c>
      <c r="V86" s="177"/>
      <c r="W86" s="177" t="e">
        <f t="shared" si="16"/>
        <v>#REF!</v>
      </c>
      <c r="X86" s="177"/>
      <c r="Y86" s="177" t="e">
        <f t="shared" si="16"/>
        <v>#REF!</v>
      </c>
      <c r="Z86" s="177"/>
      <c r="AA86" s="353" t="e">
        <f t="shared" si="16"/>
        <v>#REF!</v>
      </c>
      <c r="AB86" s="356"/>
    </row>
    <row r="87" spans="1:29" ht="14">
      <c r="A87" s="56"/>
      <c r="B87" s="57"/>
      <c r="C87" s="58"/>
      <c r="D87" s="58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</row>
    <row r="88" spans="1:29">
      <c r="C88" s="3"/>
      <c r="D88" s="3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9">
      <c r="C89" s="5"/>
      <c r="D89" s="5"/>
    </row>
    <row r="90" spans="1:29"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29">
      <c r="B91" s="52"/>
      <c r="C91" s="3"/>
      <c r="D91" s="3"/>
      <c r="AA91" s="8"/>
      <c r="AB91" s="8"/>
    </row>
    <row r="92" spans="1:29">
      <c r="C92" s="53"/>
      <c r="D92" s="53"/>
    </row>
    <row r="96" spans="1:29">
      <c r="C96" s="53"/>
      <c r="D96" s="53"/>
    </row>
  </sheetData>
  <sheetProtection formatCells="0" formatColumns="0" formatRows="0" insertColumns="0" insertRows="0" insertHyperlinks="0" deleteColumns="0" deleteRows="0" sort="0" autoFilter="0" pivotTables="0"/>
  <mergeCells count="17">
    <mergeCell ref="A1:AA1"/>
    <mergeCell ref="A2:A3"/>
    <mergeCell ref="B2:B3"/>
    <mergeCell ref="E2:AA2"/>
    <mergeCell ref="E3:F3"/>
    <mergeCell ref="AA3:AB3"/>
    <mergeCell ref="Y3:Z3"/>
    <mergeCell ref="W3:X3"/>
    <mergeCell ref="U3:V3"/>
    <mergeCell ref="C2:D3"/>
    <mergeCell ref="G3:H3"/>
    <mergeCell ref="S3:T3"/>
    <mergeCell ref="Q3:R3"/>
    <mergeCell ref="O3:P3"/>
    <mergeCell ref="M3:N3"/>
    <mergeCell ref="K3:L3"/>
    <mergeCell ref="I3:J3"/>
  </mergeCells>
  <hyperlinks>
    <hyperlink ref="A6" location="'1-000'!Область_печати" display="1-000" xr:uid="{00000000-0004-0000-0100-000000000000}"/>
    <hyperlink ref="A7" location="'1-001'!Область_печати" display="1-001" xr:uid="{00000000-0004-0000-0100-000001000000}"/>
    <hyperlink ref="A8" location="'1-002'!Область_печати" display="1-002" xr:uid="{00000000-0004-0000-0100-000002000000}"/>
    <hyperlink ref="A9" location="'1-0021'!R1C1" display="1-0021" xr:uid="{00000000-0004-0000-0100-000003000000}"/>
    <hyperlink ref="A10" location="'1-003'!Область_печати" display="1-003" xr:uid="{00000000-0004-0000-0100-000004000000}"/>
    <hyperlink ref="A11" location="'1-004'!Область_печати" display="1-004" xr:uid="{00000000-0004-0000-0100-000005000000}"/>
    <hyperlink ref="A12" location="'1-005'!Область_печати" display="1-005" xr:uid="{00000000-0004-0000-0100-000006000000}"/>
    <hyperlink ref="A13" location="'1-006'!Область_печати" display="1-006" xr:uid="{00000000-0004-0000-0100-000007000000}"/>
    <hyperlink ref="A14" location="'1-007'!Область_печати" display="1-007" xr:uid="{00000000-0004-0000-0100-000008000000}"/>
    <hyperlink ref="A15" location="'1-008'!Область_печати" display="1-008" xr:uid="{00000000-0004-0000-0100-000009000000}"/>
    <hyperlink ref="A19" location="'2-001'!R1C1" display="2-001" xr:uid="{00000000-0004-0000-0100-00000A000000}"/>
    <hyperlink ref="A21" location="'2-0011'!R1C1" display="2-0011" xr:uid="{00000000-0004-0000-0100-00000B000000}"/>
    <hyperlink ref="A22" location="'2-0012'!R1C1" display="2-0012" xr:uid="{00000000-0004-0000-0100-00000C000000}"/>
    <hyperlink ref="A23" location="'2-0013'!R1C1" display="2-0013" xr:uid="{00000000-0004-0000-0100-00000D000000}"/>
    <hyperlink ref="A24" location="'2-0014'!R1C1" display="2-0014" xr:uid="{00000000-0004-0000-0100-00000E000000}"/>
    <hyperlink ref="A25" location="'2-0015'!R1C1" display="2-0015" xr:uid="{00000000-0004-0000-0100-00000F000000}"/>
    <hyperlink ref="A26" location="'2-0016'!R1C1" display="2-0016" xr:uid="{00000000-0004-0000-0100-000010000000}"/>
    <hyperlink ref="A27" location="'2-0017'!R1C1" display="2-0017" xr:uid="{00000000-0004-0000-0100-000011000000}"/>
    <hyperlink ref="A28" location="'2-0018'!R1C1" display="2-0018" xr:uid="{00000000-0004-0000-0100-000012000000}"/>
    <hyperlink ref="A29" location="'2-0019'!R1C1" display="2-0019" xr:uid="{00000000-0004-0000-0100-000013000000}"/>
    <hyperlink ref="A30" location="'2-0021'!R1C1" display="2-0021" xr:uid="{00000000-0004-0000-0100-000014000000}"/>
    <hyperlink ref="A32" location="'2-0024'!R1C1" display="2-0024" xr:uid="{00000000-0004-0000-0100-000015000000}"/>
    <hyperlink ref="A33" location="'2-0025'!R1C1" display="2-0025" xr:uid="{00000000-0004-0000-0100-000016000000}"/>
    <hyperlink ref="A35" location="'2-0027'!R1C1" display="2-0027" xr:uid="{00000000-0004-0000-0100-000017000000}"/>
    <hyperlink ref="A36" location="'2-0028'!R1C1" display="2-0028" xr:uid="{00000000-0004-0000-0100-000018000000}"/>
    <hyperlink ref="A37" location="'2-0030'!R1C1" display="2-0030" xr:uid="{00000000-0004-0000-0100-000019000000}"/>
    <hyperlink ref="A38" location="'2-0031'!R1C1" display="2-0031" xr:uid="{00000000-0004-0000-0100-00001A000000}"/>
    <hyperlink ref="A39" location="'2-0032'!R1C1" display="2-0032" xr:uid="{00000000-0004-0000-0100-00001B000000}"/>
    <hyperlink ref="A41" location="'2-0033'!R1C1" display="2-0033" xr:uid="{00000000-0004-0000-0100-00001C000000}"/>
    <hyperlink ref="A42" location="'2-0034'!R1C1" display="2-0034" xr:uid="{00000000-0004-0000-0100-00001D000000}"/>
    <hyperlink ref="A43" location="'2-0035'!R1C1" display="2-0035" xr:uid="{00000000-0004-0000-0100-00001E000000}"/>
    <hyperlink ref="A45" location="'2-0036'!R1C1" display="2-0036" xr:uid="{00000000-0004-0000-0100-00001F000000}"/>
    <hyperlink ref="A46" location="'2-0037'!R1C1" display="2-0037" xr:uid="{00000000-0004-0000-0100-000020000000}"/>
    <hyperlink ref="A47" location="'2-0038'!R1C1" display="2-0038" xr:uid="{00000000-0004-0000-0100-000021000000}"/>
    <hyperlink ref="A48" location="'2-0039'!R1C1" display="2-0039" xr:uid="{00000000-0004-0000-0100-000022000000}"/>
    <hyperlink ref="A49" location="'2-0041'!R1C1" display="2-0041" xr:uid="{00000000-0004-0000-0100-000023000000}"/>
    <hyperlink ref="A50" location="'2-0042'!R1C1" display="2-0042" xr:uid="{00000000-0004-0000-0100-000024000000}"/>
    <hyperlink ref="A51" location="'2-0043'!R1C1" display="2-0043" xr:uid="{00000000-0004-0000-0100-000025000000}"/>
    <hyperlink ref="A52" location="'2-0044'!R1C1" display="2-0044" xr:uid="{00000000-0004-0000-0100-000026000000}"/>
    <hyperlink ref="A55" location="'2-0047'!R1C1" display="2-0047" xr:uid="{00000000-0004-0000-0100-000027000000}"/>
    <hyperlink ref="A57" location="'2-0048'!R1C1" display="2-0048" xr:uid="{00000000-0004-0000-0100-000028000000}"/>
    <hyperlink ref="A58" location="'2-0049'!R1C1" display="2-0049" xr:uid="{00000000-0004-0000-0100-000029000000}"/>
    <hyperlink ref="A59" location="'2-0050'!R1C1" display="2-0050" xr:uid="{00000000-0004-0000-0100-00002A000000}"/>
    <hyperlink ref="A60" location="'2-0051'!R1C1" display="2-0051" xr:uid="{00000000-0004-0000-0100-00002B000000}"/>
    <hyperlink ref="A61" location="'2-0053'!R1C1" display="2-0053" xr:uid="{00000000-0004-0000-0100-00002C000000}"/>
    <hyperlink ref="A63" location="'2-0054'!R1C1" display="2-0054" xr:uid="{00000000-0004-0000-0100-00002D000000}"/>
    <hyperlink ref="A64" location="'2-0055'!R1C1" display="2-0055" xr:uid="{00000000-0004-0000-0100-00002E000000}"/>
    <hyperlink ref="A65" location="'2-0056'!R1C1" display="2-0056" xr:uid="{00000000-0004-0000-0100-00002F000000}"/>
    <hyperlink ref="A66" location="'2-0057'!R1C1" display="2-0057" xr:uid="{00000000-0004-0000-0100-000030000000}"/>
    <hyperlink ref="A68" location="'2-0058'!R1C1" display="2-0058" xr:uid="{00000000-0004-0000-0100-000031000000}"/>
    <hyperlink ref="A69" location="'2-0060'!R1C1" display="2-0060" xr:uid="{00000000-0004-0000-0100-000032000000}"/>
    <hyperlink ref="A70" location="'2-0061'!R1C1" display="2-0061" xr:uid="{00000000-0004-0000-0100-000033000000}"/>
    <hyperlink ref="A71" location="'2-0062'!R1C1" display="2-0062" xr:uid="{00000000-0004-0000-0100-000034000000}"/>
    <hyperlink ref="A72" location="'2-0063'!R1C1" display="2-0063" xr:uid="{00000000-0004-0000-0100-000035000000}"/>
    <hyperlink ref="A74" location="'2-0064'!R1C1" display="2-0064" xr:uid="{00000000-0004-0000-0100-000036000000}"/>
    <hyperlink ref="A75" location="'2-0065'!R1C1" display="2-0065" xr:uid="{00000000-0004-0000-0100-000037000000}"/>
    <hyperlink ref="A76" location="'2-0066'!R1C1" display="2-0066" xr:uid="{00000000-0004-0000-0100-000038000000}"/>
    <hyperlink ref="A78" location="'2-0067'!R1C1" display="2-0067" xr:uid="{00000000-0004-0000-0100-000039000000}"/>
    <hyperlink ref="A79" location="'2-0068'!R1C1" display="2-0068" xr:uid="{00000000-0004-0000-0100-00003A000000}"/>
    <hyperlink ref="A80" location="'2-0069'!R1C1" display="2-0069" xr:uid="{00000000-0004-0000-0100-00003B000000}"/>
    <hyperlink ref="A81" location="'2-0070'!R1C1" display="2-0070" xr:uid="{00000000-0004-0000-0100-00003C000000}"/>
    <hyperlink ref="A82" location="'2-0071'!R1C1" display="2-0071" xr:uid="{00000000-0004-0000-0100-00003D000000}"/>
    <hyperlink ref="A31" location="'2-0022'!R1C1" display="2-0022" xr:uid="{00000000-0004-0000-0100-00003E000000}"/>
    <hyperlink ref="A53" location="'2-0023'!A1" display="2-0023" xr:uid="{00000000-0004-0000-0100-00003F000000}"/>
  </hyperlinks>
  <printOptions horizontalCentered="1"/>
  <pageMargins left="0.11811023622047245" right="0.11811023622047245" top="0.55118110236220474" bottom="0.15748031496062992" header="7.874015748031496E-2" footer="7.874015748031496E-2"/>
  <pageSetup paperSize="9" orientation="landscape" r:id="rId1"/>
  <headerFooter>
    <oddHeader>&amp;RУТВЕРЖДЕНО
Решением Правления
№ ______ от "___" _____________ 201__г.</oddHeader>
    <oddFooter>&amp;LАвтор: kulikova&amp;R&amp;D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2:J37"/>
  <sheetViews>
    <sheetView showGridLines="0" zoomScaleNormal="100" zoomScaleSheetLayoutView="75" workbookViewId="0">
      <selection activeCell="B7" sqref="B7"/>
    </sheetView>
  </sheetViews>
  <sheetFormatPr baseColWidth="10" defaultColWidth="9.1640625" defaultRowHeight="13"/>
  <cols>
    <col min="1" max="1" width="8.5" style="10" customWidth="1"/>
    <col min="2" max="2" width="35.83203125" style="10" customWidth="1"/>
    <col min="3" max="3" width="19.33203125" style="10" customWidth="1"/>
    <col min="4" max="5" width="9.1640625" style="10"/>
    <col min="6" max="6" width="12.5" style="10" customWidth="1"/>
    <col min="7" max="7" width="19.33203125" style="10" bestFit="1" customWidth="1"/>
    <col min="8" max="8" width="14.6640625" style="10" bestFit="1" customWidth="1"/>
    <col min="9" max="16384" width="9.1640625" style="10"/>
  </cols>
  <sheetData>
    <row r="2" spans="1:10" s="30" customFormat="1" ht="18">
      <c r="A2" s="270" t="s">
        <v>41</v>
      </c>
      <c r="B2" s="21" t="str">
        <f>VLOOKUP(A2,Бюджет,2,FALSE)</f>
        <v>Остаток денежных средств на 01.01.2025 г. (входящее сальдо)</v>
      </c>
    </row>
    <row r="4" spans="1:10" ht="40.5" customHeight="1">
      <c r="B4" s="674"/>
      <c r="C4" s="675"/>
      <c r="D4" s="675"/>
      <c r="E4" s="675"/>
      <c r="F4" s="675"/>
      <c r="G4" s="675"/>
      <c r="H4" s="675"/>
      <c r="I4" s="675"/>
      <c r="J4" s="675"/>
    </row>
    <row r="5" spans="1:10" ht="18.75" customHeight="1">
      <c r="B5" s="43"/>
      <c r="C5" s="15"/>
      <c r="D5" s="15"/>
      <c r="E5" s="15"/>
      <c r="F5" s="15"/>
      <c r="G5" s="15"/>
      <c r="H5" s="15"/>
      <c r="I5" s="15"/>
      <c r="J5" s="15"/>
    </row>
    <row r="6" spans="1:10" ht="15" customHeight="1">
      <c r="B6" s="46" t="s">
        <v>722</v>
      </c>
      <c r="C6" s="47"/>
      <c r="D6" s="12"/>
      <c r="E6" s="12"/>
      <c r="F6" s="12"/>
      <c r="G6" s="12"/>
      <c r="H6" s="12"/>
      <c r="I6" s="15"/>
      <c r="J6" s="15"/>
    </row>
    <row r="7" spans="1:10" ht="9.75" customHeight="1">
      <c r="B7" s="46"/>
      <c r="C7" s="47"/>
      <c r="D7" s="12"/>
      <c r="E7" s="12"/>
      <c r="F7" s="12"/>
      <c r="G7" s="12"/>
      <c r="H7" s="12"/>
      <c r="I7" s="15"/>
      <c r="J7" s="15"/>
    </row>
    <row r="8" spans="1:10" ht="21.75" customHeight="1">
      <c r="B8" s="48" t="s">
        <v>273</v>
      </c>
      <c r="C8" s="49">
        <v>2000000</v>
      </c>
      <c r="D8" s="12"/>
      <c r="E8" s="12"/>
      <c r="F8" s="12"/>
      <c r="G8" s="12"/>
      <c r="H8" s="12"/>
      <c r="I8" s="15"/>
      <c r="J8" s="15"/>
    </row>
    <row r="9" spans="1:10" ht="21.75" customHeight="1">
      <c r="B9" s="48" t="s">
        <v>656</v>
      </c>
      <c r="C9" s="49">
        <v>2000000</v>
      </c>
      <c r="D9" s="12"/>
      <c r="E9" s="12"/>
      <c r="F9" s="12"/>
      <c r="G9" s="12"/>
      <c r="H9" s="12"/>
      <c r="I9" s="15"/>
      <c r="J9" s="15"/>
    </row>
    <row r="10" spans="1:10" ht="21.75" customHeight="1">
      <c r="B10" s="48" t="s">
        <v>657</v>
      </c>
      <c r="C10" s="49"/>
      <c r="D10" s="12"/>
      <c r="E10" s="12"/>
      <c r="F10" s="12"/>
      <c r="G10" s="12"/>
      <c r="H10" s="12"/>
      <c r="I10" s="15"/>
      <c r="J10" s="15"/>
    </row>
    <row r="11" spans="1:10" ht="21.75" customHeight="1">
      <c r="B11" s="48" t="s">
        <v>53</v>
      </c>
      <c r="C11" s="49"/>
      <c r="D11" s="12"/>
      <c r="E11" s="12"/>
      <c r="F11" s="12"/>
      <c r="G11" s="12"/>
      <c r="H11" s="12"/>
      <c r="I11" s="15"/>
      <c r="J11" s="15"/>
    </row>
    <row r="12" spans="1:10" ht="21.75" customHeight="1">
      <c r="B12" s="50" t="s">
        <v>21</v>
      </c>
      <c r="C12" s="391">
        <f>SUM(C8:C11)</f>
        <v>4000000</v>
      </c>
      <c r="D12" s="12"/>
      <c r="E12" s="12"/>
      <c r="F12" s="12"/>
      <c r="G12" s="12"/>
      <c r="H12" s="12"/>
      <c r="I12" s="15"/>
      <c r="J12" s="15"/>
    </row>
    <row r="13" spans="1:10" ht="57.75" customHeight="1">
      <c r="B13" s="676"/>
      <c r="C13" s="677"/>
      <c r="D13" s="677"/>
      <c r="E13" s="677"/>
      <c r="F13" s="18"/>
      <c r="G13" s="19"/>
      <c r="H13" s="19"/>
      <c r="I13" s="18"/>
      <c r="J13" s="18"/>
    </row>
    <row r="19" spans="8:8">
      <c r="H19" s="20"/>
    </row>
    <row r="37" ht="101.25" customHeight="1"/>
  </sheetData>
  <mergeCells count="2">
    <mergeCell ref="B4:J4"/>
    <mergeCell ref="B13:E13"/>
  </mergeCells>
  <hyperlinks>
    <hyperlink ref="A2" location="Бюджет!R1C1" display="1-000" xr:uid="{00000000-0004-0000-0200-000000000000}"/>
  </hyperlinks>
  <pageMargins left="0.75" right="0.75" top="1" bottom="1" header="0.5" footer="0.5"/>
  <pageSetup paperSize="9" scale="8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  <pageSetUpPr fitToPage="1"/>
  </sheetPr>
  <dimension ref="A1:K9"/>
  <sheetViews>
    <sheetView showGridLines="0" zoomScaleNormal="100" zoomScaleSheetLayoutView="75" workbookViewId="0"/>
  </sheetViews>
  <sheetFormatPr baseColWidth="10" defaultColWidth="9.1640625" defaultRowHeight="13"/>
  <cols>
    <col min="1" max="1" width="14.1640625" style="10" bestFit="1" customWidth="1"/>
    <col min="2" max="2" width="26.33203125" style="10" customWidth="1"/>
    <col min="3" max="3" width="16" style="10" bestFit="1" customWidth="1"/>
    <col min="4" max="4" width="17.33203125" style="10" bestFit="1" customWidth="1"/>
    <col min="5" max="5" width="14" style="10" bestFit="1" customWidth="1"/>
    <col min="6" max="6" width="15.33203125" style="10" customWidth="1"/>
    <col min="7" max="7" width="14.5" style="10" customWidth="1"/>
    <col min="8" max="8" width="19" style="10" customWidth="1"/>
    <col min="9" max="9" width="14.5" style="10" bestFit="1" customWidth="1"/>
    <col min="10" max="10" width="18.33203125" style="10" customWidth="1"/>
    <col min="11" max="11" width="18.1640625" style="10" customWidth="1"/>
    <col min="12" max="12" width="9.1640625" style="10"/>
    <col min="13" max="13" width="14.5" style="10" bestFit="1" customWidth="1"/>
    <col min="14" max="14" width="9.1640625" style="10"/>
    <col min="15" max="15" width="14.5" style="10" bestFit="1" customWidth="1"/>
    <col min="16" max="16" width="9.1640625" style="10"/>
    <col min="17" max="17" width="14.5" style="10" bestFit="1" customWidth="1"/>
    <col min="18" max="18" width="9.1640625" style="10"/>
    <col min="19" max="19" width="14.5" style="10" bestFit="1" customWidth="1"/>
    <col min="20" max="20" width="9.1640625" style="10"/>
    <col min="21" max="21" width="14.5" style="10" bestFit="1" customWidth="1"/>
    <col min="22" max="22" width="9.1640625" style="10"/>
    <col min="23" max="23" width="14.5" style="10" bestFit="1" customWidth="1"/>
    <col min="24" max="16384" width="9.1640625" style="10"/>
  </cols>
  <sheetData>
    <row r="1" spans="1:11" ht="15">
      <c r="A1" s="223" t="s">
        <v>206</v>
      </c>
    </row>
    <row r="2" spans="1:11" s="30" customFormat="1" ht="18">
      <c r="A2" s="271" t="s">
        <v>24</v>
      </c>
      <c r="B2" s="21" t="str">
        <f>VLOOKUP(A2,Бюджет,2,FALSE)</f>
        <v xml:space="preserve">Депозит </v>
      </c>
      <c r="C2" s="21"/>
    </row>
    <row r="4" spans="1:11" ht="99.75" customHeight="1">
      <c r="B4" s="678" t="s">
        <v>719</v>
      </c>
      <c r="C4" s="678"/>
      <c r="D4" s="678"/>
      <c r="E4" s="678"/>
      <c r="F4" s="678"/>
      <c r="G4" s="678"/>
      <c r="H4" s="678"/>
      <c r="I4" s="678"/>
      <c r="J4" s="678"/>
      <c r="K4" s="678"/>
    </row>
    <row r="7" spans="1:11" ht="16">
      <c r="B7" s="219"/>
    </row>
    <row r="9" spans="1:11" ht="16">
      <c r="B9" s="221"/>
    </row>
  </sheetData>
  <mergeCells count="1">
    <mergeCell ref="B4:K4"/>
  </mergeCells>
  <hyperlinks>
    <hyperlink ref="A1" location="Бюджет" display="Бюджет" xr:uid="{00000000-0004-0000-0300-000000000000}"/>
    <hyperlink ref="A2" location="Бюджет!R1C1" display="1-001" xr:uid="{00000000-0004-0000-0300-000001000000}"/>
  </hyperlinks>
  <pageMargins left="0.75" right="0.75" top="1" bottom="1" header="0.5" footer="0.5"/>
  <pageSetup paperSize="9" scale="63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1:L12"/>
  <sheetViews>
    <sheetView showGridLines="0" zoomScaleNormal="100" zoomScaleSheetLayoutView="85" workbookViewId="0"/>
  </sheetViews>
  <sheetFormatPr baseColWidth="10" defaultColWidth="9.1640625" defaultRowHeight="13"/>
  <cols>
    <col min="1" max="1" width="14.1640625" style="10" bestFit="1" customWidth="1"/>
    <col min="2" max="2" width="26.33203125" style="10" customWidth="1"/>
    <col min="3" max="3" width="16" style="10" bestFit="1" customWidth="1"/>
    <col min="4" max="5" width="17.33203125" style="10" bestFit="1" customWidth="1"/>
    <col min="6" max="6" width="14" style="10" bestFit="1" customWidth="1"/>
    <col min="7" max="7" width="9.1640625" style="10"/>
    <col min="8" max="8" width="14.5" style="10" customWidth="1"/>
    <col min="9" max="9" width="19" style="10" customWidth="1"/>
    <col min="10" max="10" width="14.5" style="10" bestFit="1" customWidth="1"/>
    <col min="11" max="11" width="18.33203125" style="10" customWidth="1"/>
    <col min="12" max="12" width="21" style="10" customWidth="1"/>
    <col min="13" max="13" width="9.1640625" style="10"/>
    <col min="14" max="14" width="14.5" style="10" bestFit="1" customWidth="1"/>
    <col min="15" max="15" width="9.1640625" style="10"/>
    <col min="16" max="16" width="14.5" style="10" bestFit="1" customWidth="1"/>
    <col min="17" max="17" width="9.1640625" style="10"/>
    <col min="18" max="18" width="14.5" style="10" bestFit="1" customWidth="1"/>
    <col min="19" max="19" width="9.1640625" style="10"/>
    <col min="20" max="20" width="14.5" style="10" bestFit="1" customWidth="1"/>
    <col min="21" max="21" width="9.1640625" style="10"/>
    <col min="22" max="22" width="14.5" style="10" bestFit="1" customWidth="1"/>
    <col min="23" max="23" width="9.1640625" style="10"/>
    <col min="24" max="24" width="14.5" style="10" bestFit="1" customWidth="1"/>
    <col min="25" max="16384" width="9.1640625" style="10"/>
  </cols>
  <sheetData>
    <row r="1" spans="1:12" ht="15">
      <c r="A1" s="223" t="s">
        <v>206</v>
      </c>
    </row>
    <row r="2" spans="1:12" s="30" customFormat="1" ht="18">
      <c r="A2" s="271" t="s">
        <v>25</v>
      </c>
      <c r="B2" s="21" t="str">
        <f>VLOOKUP(A2,Бюджет,2,FALSE)</f>
        <v>Ежемесячные членские взносы исходя из 100% плана</v>
      </c>
      <c r="C2" s="21"/>
    </row>
    <row r="5" spans="1:12" ht="16">
      <c r="B5" s="22" t="s">
        <v>44</v>
      </c>
      <c r="L5" s="24">
        <f>('1-0020'!D111+'1-0020'!I197)*12</f>
        <v>0</v>
      </c>
    </row>
    <row r="6" spans="1:12" ht="16">
      <c r="B6" s="23"/>
      <c r="L6" s="24"/>
    </row>
    <row r="7" spans="1:12" ht="16">
      <c r="B7" s="41" t="s">
        <v>23</v>
      </c>
      <c r="L7" s="527">
        <v>5550000</v>
      </c>
    </row>
    <row r="8" spans="1:12" ht="16">
      <c r="H8" s="25"/>
      <c r="L8" s="24"/>
    </row>
    <row r="9" spans="1:12" ht="16">
      <c r="H9" s="26"/>
      <c r="L9" s="24"/>
    </row>
    <row r="10" spans="1:12" ht="16">
      <c r="B10" s="22"/>
    </row>
    <row r="12" spans="1:12" ht="16">
      <c r="B12" s="27"/>
      <c r="C12" s="28"/>
      <c r="D12" s="28"/>
      <c r="E12" s="28"/>
      <c r="F12" s="29"/>
      <c r="G12" s="29"/>
      <c r="H12" s="29"/>
      <c r="I12" s="29"/>
    </row>
  </sheetData>
  <hyperlinks>
    <hyperlink ref="A1" location="Бюджет" display="Бюджет" xr:uid="{00000000-0004-0000-0400-000000000000}"/>
    <hyperlink ref="A2" location="Бюджет!R1C1" display="1-002" xr:uid="{00000000-0004-0000-0400-000001000000}"/>
  </hyperlinks>
  <pageMargins left="0.75" right="0.75" top="1" bottom="1" header="0.5" footer="0.5"/>
  <pageSetup paperSize="9" scale="62" orientation="landscape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I304"/>
  <sheetViews>
    <sheetView topLeftCell="A169" workbookViewId="0">
      <selection activeCell="I197" sqref="I197"/>
    </sheetView>
  </sheetViews>
  <sheetFormatPr baseColWidth="10" defaultColWidth="8.83203125" defaultRowHeight="16"/>
  <cols>
    <col min="1" max="1" width="14.1640625" customWidth="1"/>
    <col min="2" max="2" width="9.1640625" style="255"/>
    <col min="3" max="3" width="27.6640625" style="479" customWidth="1"/>
    <col min="4" max="4" width="21.6640625" style="479" customWidth="1"/>
    <col min="5" max="7" width="9" style="255"/>
    <col min="8" max="8" width="24" style="482" customWidth="1"/>
    <col min="9" max="9" width="27" style="482" customWidth="1"/>
  </cols>
  <sheetData>
    <row r="1" spans="1:9">
      <c r="A1" s="227" t="s">
        <v>206</v>
      </c>
      <c r="B1" s="469" t="s">
        <v>318</v>
      </c>
      <c r="C1" s="470" t="s">
        <v>319</v>
      </c>
      <c r="D1" s="470" t="s">
        <v>320</v>
      </c>
      <c r="G1" s="469" t="s">
        <v>318</v>
      </c>
      <c r="H1" s="471" t="s">
        <v>321</v>
      </c>
      <c r="I1" s="471" t="s">
        <v>320</v>
      </c>
    </row>
    <row r="2" spans="1:9">
      <c r="B2" s="472">
        <v>1</v>
      </c>
      <c r="C2" s="473" t="s">
        <v>322</v>
      </c>
      <c r="D2" s="474">
        <v>10200</v>
      </c>
      <c r="G2" s="472">
        <v>1</v>
      </c>
      <c r="H2" s="475" t="s">
        <v>323</v>
      </c>
      <c r="I2" s="476">
        <v>12688.8</v>
      </c>
    </row>
    <row r="3" spans="1:9">
      <c r="B3" s="472">
        <v>2</v>
      </c>
      <c r="C3" s="473" t="s">
        <v>324</v>
      </c>
      <c r="D3" s="474">
        <v>10200</v>
      </c>
      <c r="G3" s="472">
        <v>2</v>
      </c>
      <c r="H3" s="475" t="s">
        <v>325</v>
      </c>
      <c r="I3" s="476">
        <v>12454.2</v>
      </c>
    </row>
    <row r="4" spans="1:9">
      <c r="B4" s="472">
        <v>3</v>
      </c>
      <c r="C4" s="473" t="s">
        <v>326</v>
      </c>
      <c r="D4" s="474">
        <v>10200</v>
      </c>
      <c r="G4" s="472">
        <v>3</v>
      </c>
      <c r="H4" s="475" t="s">
        <v>327</v>
      </c>
      <c r="I4" s="476">
        <v>12678.6</v>
      </c>
    </row>
    <row r="5" spans="1:9">
      <c r="B5" s="472">
        <v>4</v>
      </c>
      <c r="C5" s="473" t="s">
        <v>328</v>
      </c>
      <c r="D5" s="474">
        <v>10200</v>
      </c>
      <c r="G5" s="472">
        <v>4</v>
      </c>
      <c r="H5" s="475" t="s">
        <v>329</v>
      </c>
      <c r="I5" s="476">
        <v>15187.8</v>
      </c>
    </row>
    <row r="6" spans="1:9">
      <c r="B6" s="472">
        <v>5</v>
      </c>
      <c r="C6" s="473" t="s">
        <v>330</v>
      </c>
      <c r="D6" s="474">
        <v>10200</v>
      </c>
      <c r="G6" s="472">
        <v>5</v>
      </c>
      <c r="H6" s="475" t="s">
        <v>331</v>
      </c>
      <c r="I6" s="476">
        <v>24286.2</v>
      </c>
    </row>
    <row r="7" spans="1:9">
      <c r="B7" s="472">
        <v>6</v>
      </c>
      <c r="C7" s="473" t="s">
        <v>332</v>
      </c>
      <c r="D7" s="474">
        <v>10200</v>
      </c>
      <c r="G7" s="472">
        <v>6</v>
      </c>
      <c r="H7" s="475" t="s">
        <v>333</v>
      </c>
      <c r="I7" s="476">
        <v>30630.6</v>
      </c>
    </row>
    <row r="8" spans="1:9">
      <c r="B8" s="472">
        <v>7</v>
      </c>
      <c r="C8" s="473" t="s">
        <v>334</v>
      </c>
      <c r="D8" s="474">
        <v>10200</v>
      </c>
      <c r="G8" s="472">
        <v>7</v>
      </c>
      <c r="H8" s="475" t="s">
        <v>335</v>
      </c>
      <c r="I8" s="476">
        <v>20420.400000000001</v>
      </c>
    </row>
    <row r="9" spans="1:9">
      <c r="B9" s="472">
        <v>8</v>
      </c>
      <c r="C9" s="473" t="s">
        <v>336</v>
      </c>
      <c r="D9" s="474">
        <v>10200</v>
      </c>
      <c r="G9" s="472">
        <v>8</v>
      </c>
      <c r="H9" s="475" t="s">
        <v>337</v>
      </c>
      <c r="I9" s="476">
        <v>13137.6</v>
      </c>
    </row>
    <row r="10" spans="1:9">
      <c r="B10" s="472">
        <v>9</v>
      </c>
      <c r="C10" s="473" t="s">
        <v>338</v>
      </c>
      <c r="D10" s="474">
        <v>10200</v>
      </c>
      <c r="G10" s="472">
        <v>9</v>
      </c>
      <c r="H10" s="475" t="s">
        <v>339</v>
      </c>
      <c r="I10" s="476">
        <v>18390.599999999999</v>
      </c>
    </row>
    <row r="11" spans="1:9">
      <c r="B11" s="472">
        <v>10</v>
      </c>
      <c r="C11" s="473" t="s">
        <v>340</v>
      </c>
      <c r="D11" s="474">
        <v>10200</v>
      </c>
      <c r="G11" s="472">
        <v>10</v>
      </c>
      <c r="H11" s="475" t="s">
        <v>341</v>
      </c>
      <c r="I11" s="476">
        <v>14290.2</v>
      </c>
    </row>
    <row r="12" spans="1:9">
      <c r="B12" s="472">
        <v>11</v>
      </c>
      <c r="C12" s="473" t="s">
        <v>342</v>
      </c>
      <c r="D12" s="474">
        <v>10200</v>
      </c>
      <c r="G12" s="472">
        <v>11</v>
      </c>
      <c r="H12" s="475" t="s">
        <v>343</v>
      </c>
      <c r="I12" s="476">
        <v>18360</v>
      </c>
    </row>
    <row r="13" spans="1:9">
      <c r="B13" s="472">
        <v>12</v>
      </c>
      <c r="C13" s="473" t="s">
        <v>344</v>
      </c>
      <c r="D13" s="474">
        <v>10200</v>
      </c>
      <c r="G13" s="472">
        <v>12</v>
      </c>
      <c r="H13" s="475" t="s">
        <v>345</v>
      </c>
      <c r="I13" s="476">
        <v>20410.2</v>
      </c>
    </row>
    <row r="14" spans="1:9">
      <c r="B14" s="472">
        <v>13</v>
      </c>
      <c r="C14" s="473" t="s">
        <v>346</v>
      </c>
      <c r="D14" s="474">
        <v>10200</v>
      </c>
      <c r="G14" s="472">
        <v>13</v>
      </c>
      <c r="H14" s="475" t="s">
        <v>347</v>
      </c>
      <c r="I14" s="476">
        <v>18380.400000000001</v>
      </c>
    </row>
    <row r="15" spans="1:9">
      <c r="B15" s="472">
        <v>14</v>
      </c>
      <c r="C15" s="473" t="s">
        <v>348</v>
      </c>
      <c r="D15" s="474">
        <v>10200</v>
      </c>
      <c r="G15" s="472">
        <v>14</v>
      </c>
      <c r="H15" s="475" t="s">
        <v>349</v>
      </c>
      <c r="I15" s="476">
        <v>19410.599999999999</v>
      </c>
    </row>
    <row r="16" spans="1:9">
      <c r="B16" s="472">
        <v>15</v>
      </c>
      <c r="C16" s="473" t="s">
        <v>350</v>
      </c>
      <c r="D16" s="474">
        <v>10200</v>
      </c>
      <c r="G16" s="472">
        <v>15</v>
      </c>
      <c r="H16" s="475" t="s">
        <v>351</v>
      </c>
      <c r="I16" s="476">
        <v>21430.2</v>
      </c>
    </row>
    <row r="17" spans="2:9">
      <c r="B17" s="472">
        <v>16</v>
      </c>
      <c r="C17" s="473" t="s">
        <v>352</v>
      </c>
      <c r="D17" s="474">
        <v>10200</v>
      </c>
      <c r="G17" s="472">
        <v>16</v>
      </c>
      <c r="H17" s="475" t="s">
        <v>353</v>
      </c>
      <c r="I17" s="476">
        <v>18360</v>
      </c>
    </row>
    <row r="18" spans="2:9">
      <c r="B18" s="472">
        <v>17</v>
      </c>
      <c r="C18" s="473" t="s">
        <v>354</v>
      </c>
      <c r="D18" s="474">
        <v>10200</v>
      </c>
      <c r="G18" s="472">
        <v>17</v>
      </c>
      <c r="H18" s="475" t="s">
        <v>355</v>
      </c>
      <c r="I18" s="476">
        <v>14065.8</v>
      </c>
    </row>
    <row r="19" spans="2:9">
      <c r="B19" s="472">
        <v>18</v>
      </c>
      <c r="C19" s="473" t="s">
        <v>356</v>
      </c>
      <c r="D19" s="474">
        <v>10200</v>
      </c>
      <c r="G19" s="472">
        <v>18</v>
      </c>
      <c r="H19" s="475" t="s">
        <v>357</v>
      </c>
      <c r="I19" s="476">
        <v>14290.2</v>
      </c>
    </row>
    <row r="20" spans="2:9">
      <c r="B20" s="472">
        <v>19</v>
      </c>
      <c r="C20" s="473" t="s">
        <v>358</v>
      </c>
      <c r="D20" s="474">
        <v>10200</v>
      </c>
      <c r="G20" s="472">
        <v>19</v>
      </c>
      <c r="H20" s="475" t="s">
        <v>359</v>
      </c>
      <c r="I20" s="476">
        <v>15493.8</v>
      </c>
    </row>
    <row r="21" spans="2:9">
      <c r="B21" s="472">
        <v>20</v>
      </c>
      <c r="C21" s="473" t="s">
        <v>360</v>
      </c>
      <c r="D21" s="474">
        <v>10200</v>
      </c>
      <c r="G21" s="472">
        <v>20</v>
      </c>
      <c r="H21" s="475" t="s">
        <v>361</v>
      </c>
      <c r="I21" s="476">
        <v>18615</v>
      </c>
    </row>
    <row r="22" spans="2:9">
      <c r="B22" s="472">
        <v>21</v>
      </c>
      <c r="C22" s="473" t="s">
        <v>362</v>
      </c>
      <c r="D22" s="474">
        <v>10200</v>
      </c>
      <c r="G22" s="472">
        <v>21</v>
      </c>
      <c r="H22" s="475" t="s">
        <v>363</v>
      </c>
      <c r="I22" s="476">
        <v>22440</v>
      </c>
    </row>
    <row r="23" spans="2:9">
      <c r="B23" s="472">
        <v>22</v>
      </c>
      <c r="C23" s="473" t="s">
        <v>364</v>
      </c>
      <c r="D23" s="474">
        <v>10200</v>
      </c>
      <c r="G23" s="472">
        <v>22</v>
      </c>
      <c r="H23" s="475" t="s">
        <v>365</v>
      </c>
      <c r="I23" s="476">
        <v>29580</v>
      </c>
    </row>
    <row r="24" spans="2:9">
      <c r="B24" s="472">
        <v>23</v>
      </c>
      <c r="C24" s="473" t="s">
        <v>366</v>
      </c>
      <c r="D24" s="474">
        <v>10200</v>
      </c>
      <c r="G24" s="472">
        <v>23</v>
      </c>
      <c r="H24" s="475" t="s">
        <v>367</v>
      </c>
      <c r="I24" s="476">
        <v>29631</v>
      </c>
    </row>
    <row r="25" spans="2:9">
      <c r="B25" s="472">
        <v>24</v>
      </c>
      <c r="C25" s="473" t="s">
        <v>368</v>
      </c>
      <c r="D25" s="474">
        <v>10200</v>
      </c>
      <c r="G25" s="472">
        <v>24</v>
      </c>
      <c r="H25" s="475" t="s">
        <v>369</v>
      </c>
      <c r="I25" s="476">
        <v>22480.799999999999</v>
      </c>
    </row>
    <row r="26" spans="2:9">
      <c r="B26" s="472">
        <v>25</v>
      </c>
      <c r="C26" s="473" t="s">
        <v>370</v>
      </c>
      <c r="D26" s="474">
        <v>10200</v>
      </c>
      <c r="G26" s="472">
        <v>25</v>
      </c>
      <c r="H26" s="475" t="s">
        <v>371</v>
      </c>
      <c r="I26" s="476">
        <v>19420.8</v>
      </c>
    </row>
    <row r="27" spans="2:9">
      <c r="B27" s="472">
        <v>26</v>
      </c>
      <c r="C27" s="473" t="s">
        <v>372</v>
      </c>
      <c r="D27" s="474">
        <v>10200</v>
      </c>
      <c r="G27" s="472">
        <v>26</v>
      </c>
      <c r="H27" s="475" t="s">
        <v>373</v>
      </c>
      <c r="I27" s="476">
        <v>14280</v>
      </c>
    </row>
    <row r="28" spans="2:9">
      <c r="B28" s="472">
        <v>27</v>
      </c>
      <c r="C28" s="473" t="s">
        <v>374</v>
      </c>
      <c r="D28" s="474">
        <v>10200</v>
      </c>
      <c r="G28" s="472">
        <v>27</v>
      </c>
      <c r="H28" s="475" t="s">
        <v>375</v>
      </c>
      <c r="I28" s="476">
        <v>14310.6</v>
      </c>
    </row>
    <row r="29" spans="2:9">
      <c r="B29" s="472">
        <v>28</v>
      </c>
      <c r="C29" s="473" t="s">
        <v>376</v>
      </c>
      <c r="D29" s="474">
        <v>10200</v>
      </c>
      <c r="G29" s="472">
        <v>28</v>
      </c>
      <c r="H29" s="475" t="s">
        <v>377</v>
      </c>
      <c r="I29" s="476">
        <v>18380.400000000001</v>
      </c>
    </row>
    <row r="30" spans="2:9">
      <c r="B30" s="472">
        <v>29</v>
      </c>
      <c r="C30" s="473" t="s">
        <v>378</v>
      </c>
      <c r="D30" s="474">
        <v>10200</v>
      </c>
      <c r="G30" s="472">
        <v>29</v>
      </c>
      <c r="H30" s="475" t="s">
        <v>379</v>
      </c>
      <c r="I30" s="476">
        <v>21430.2</v>
      </c>
    </row>
    <row r="31" spans="2:9">
      <c r="B31" s="472">
        <v>30</v>
      </c>
      <c r="C31" s="473" t="s">
        <v>380</v>
      </c>
      <c r="D31" s="474">
        <v>10200</v>
      </c>
      <c r="G31" s="472">
        <v>30</v>
      </c>
      <c r="H31" s="475" t="s">
        <v>381</v>
      </c>
      <c r="I31" s="476">
        <v>20420.400000000001</v>
      </c>
    </row>
    <row r="32" spans="2:9">
      <c r="B32" s="472">
        <v>31</v>
      </c>
      <c r="C32" s="473" t="s">
        <v>382</v>
      </c>
      <c r="D32" s="474">
        <v>10200</v>
      </c>
      <c r="G32" s="472">
        <v>31</v>
      </c>
      <c r="H32" s="475" t="s">
        <v>383</v>
      </c>
      <c r="I32" s="476">
        <v>18380.400000000001</v>
      </c>
    </row>
    <row r="33" spans="2:9">
      <c r="B33" s="472">
        <v>32</v>
      </c>
      <c r="C33" s="473" t="s">
        <v>384</v>
      </c>
      <c r="D33" s="474">
        <v>10200</v>
      </c>
      <c r="G33" s="472">
        <v>32</v>
      </c>
      <c r="H33" s="475" t="s">
        <v>385</v>
      </c>
      <c r="I33" s="476">
        <v>18380.400000000001</v>
      </c>
    </row>
    <row r="34" spans="2:9">
      <c r="B34" s="472">
        <v>33</v>
      </c>
      <c r="C34" s="473" t="s">
        <v>386</v>
      </c>
      <c r="D34" s="474">
        <v>10200</v>
      </c>
      <c r="G34" s="472">
        <v>33</v>
      </c>
      <c r="H34" s="475" t="s">
        <v>387</v>
      </c>
      <c r="I34" s="476">
        <v>18655.8</v>
      </c>
    </row>
    <row r="35" spans="2:9">
      <c r="B35" s="472">
        <v>34</v>
      </c>
      <c r="C35" s="473" t="s">
        <v>388</v>
      </c>
      <c r="D35" s="474">
        <v>10200</v>
      </c>
      <c r="G35" s="472">
        <v>34</v>
      </c>
      <c r="H35" s="475" t="s">
        <v>389</v>
      </c>
      <c r="I35" s="476">
        <v>18003</v>
      </c>
    </row>
    <row r="36" spans="2:9">
      <c r="B36" s="472">
        <v>35</v>
      </c>
      <c r="C36" s="473" t="s">
        <v>390</v>
      </c>
      <c r="D36" s="474">
        <v>10200</v>
      </c>
      <c r="G36" s="472">
        <v>35</v>
      </c>
      <c r="H36" s="475" t="s">
        <v>391</v>
      </c>
      <c r="I36" s="476">
        <v>15850.8</v>
      </c>
    </row>
    <row r="37" spans="2:9">
      <c r="B37" s="472">
        <v>36</v>
      </c>
      <c r="C37" s="473" t="s">
        <v>392</v>
      </c>
      <c r="D37" s="474">
        <v>10200</v>
      </c>
      <c r="G37" s="472">
        <v>36</v>
      </c>
      <c r="H37" s="475" t="s">
        <v>393</v>
      </c>
      <c r="I37" s="476">
        <v>14300.4</v>
      </c>
    </row>
    <row r="38" spans="2:9">
      <c r="B38" s="472">
        <v>37</v>
      </c>
      <c r="C38" s="473" t="s">
        <v>394</v>
      </c>
      <c r="D38" s="474">
        <v>10200</v>
      </c>
      <c r="G38" s="472">
        <v>37</v>
      </c>
      <c r="H38" s="475" t="s">
        <v>395</v>
      </c>
      <c r="I38" s="476">
        <v>21450.6</v>
      </c>
    </row>
    <row r="39" spans="2:9">
      <c r="B39" s="472">
        <v>38</v>
      </c>
      <c r="C39" s="473" t="s">
        <v>396</v>
      </c>
      <c r="D39" s="474">
        <v>10200</v>
      </c>
      <c r="G39" s="472">
        <v>38</v>
      </c>
      <c r="H39" s="475" t="s">
        <v>397</v>
      </c>
      <c r="I39" s="476">
        <v>13280.4</v>
      </c>
    </row>
    <row r="40" spans="2:9">
      <c r="B40" s="472">
        <v>39</v>
      </c>
      <c r="C40" s="473" t="s">
        <v>398</v>
      </c>
      <c r="D40" s="474">
        <v>10200</v>
      </c>
      <c r="G40" s="472">
        <v>39</v>
      </c>
      <c r="H40" s="475" t="s">
        <v>399</v>
      </c>
      <c r="I40" s="476">
        <v>26938.2</v>
      </c>
    </row>
    <row r="41" spans="2:9">
      <c r="B41" s="472">
        <v>40</v>
      </c>
      <c r="C41" s="473" t="s">
        <v>400</v>
      </c>
      <c r="D41" s="474">
        <v>10200</v>
      </c>
      <c r="G41" s="472">
        <v>40</v>
      </c>
      <c r="H41" s="475" t="s">
        <v>401</v>
      </c>
      <c r="I41" s="476">
        <v>41779.199999999997</v>
      </c>
    </row>
    <row r="42" spans="2:9">
      <c r="B42" s="472">
        <v>41</v>
      </c>
      <c r="C42" s="473" t="s">
        <v>402</v>
      </c>
      <c r="D42" s="474">
        <v>10200</v>
      </c>
      <c r="G42" s="472">
        <v>41</v>
      </c>
      <c r="H42" s="475" t="s">
        <v>403</v>
      </c>
      <c r="I42" s="476">
        <v>14280</v>
      </c>
    </row>
    <row r="43" spans="2:9">
      <c r="B43" s="472">
        <v>42</v>
      </c>
      <c r="C43" s="473" t="s">
        <v>404</v>
      </c>
      <c r="D43" s="474">
        <v>10200</v>
      </c>
      <c r="G43" s="472">
        <v>42</v>
      </c>
      <c r="H43" s="475" t="s">
        <v>405</v>
      </c>
      <c r="I43" s="476">
        <v>14290.2</v>
      </c>
    </row>
    <row r="44" spans="2:9">
      <c r="B44" s="472">
        <v>43</v>
      </c>
      <c r="C44" s="473" t="s">
        <v>406</v>
      </c>
      <c r="D44" s="474">
        <v>10200</v>
      </c>
      <c r="G44" s="472">
        <v>43</v>
      </c>
      <c r="H44" s="475" t="s">
        <v>407</v>
      </c>
      <c r="I44" s="476">
        <v>15850.8</v>
      </c>
    </row>
    <row r="45" spans="2:9">
      <c r="B45" s="472">
        <v>44</v>
      </c>
      <c r="C45" s="473" t="s">
        <v>408</v>
      </c>
      <c r="D45" s="474">
        <v>10200</v>
      </c>
      <c r="G45" s="472">
        <v>44</v>
      </c>
      <c r="H45" s="475" t="s">
        <v>409</v>
      </c>
      <c r="I45" s="476">
        <v>16340.4</v>
      </c>
    </row>
    <row r="46" spans="2:9">
      <c r="B46" s="472">
        <v>45</v>
      </c>
      <c r="C46" s="473" t="s">
        <v>410</v>
      </c>
      <c r="D46" s="474">
        <v>10200</v>
      </c>
      <c r="G46" s="472">
        <v>45</v>
      </c>
      <c r="H46" s="475" t="s">
        <v>411</v>
      </c>
      <c r="I46" s="476">
        <v>18380.400000000001</v>
      </c>
    </row>
    <row r="47" spans="2:9">
      <c r="B47" s="472">
        <v>46</v>
      </c>
      <c r="C47" s="473" t="s">
        <v>412</v>
      </c>
      <c r="D47" s="474">
        <v>10200</v>
      </c>
      <c r="G47" s="472">
        <v>46</v>
      </c>
      <c r="H47" s="475" t="s">
        <v>413</v>
      </c>
      <c r="I47" s="476">
        <v>22470.6</v>
      </c>
    </row>
    <row r="48" spans="2:9">
      <c r="B48" s="472">
        <v>47</v>
      </c>
      <c r="C48" s="473" t="s">
        <v>414</v>
      </c>
      <c r="D48" s="474">
        <v>10200</v>
      </c>
      <c r="G48" s="472">
        <v>47</v>
      </c>
      <c r="H48" s="475" t="s">
        <v>415</v>
      </c>
      <c r="I48" s="476">
        <v>22470.6</v>
      </c>
    </row>
    <row r="49" spans="2:9">
      <c r="B49" s="472">
        <v>48</v>
      </c>
      <c r="C49" s="473" t="s">
        <v>416</v>
      </c>
      <c r="D49" s="474">
        <v>10200</v>
      </c>
      <c r="G49" s="472">
        <v>48</v>
      </c>
      <c r="H49" s="475" t="s">
        <v>417</v>
      </c>
      <c r="I49" s="476">
        <v>20420.400000000001</v>
      </c>
    </row>
    <row r="50" spans="2:9">
      <c r="B50" s="472">
        <v>49</v>
      </c>
      <c r="C50" s="473" t="s">
        <v>418</v>
      </c>
      <c r="D50" s="474">
        <v>10200</v>
      </c>
      <c r="G50" s="472">
        <v>49</v>
      </c>
      <c r="H50" s="475" t="s">
        <v>419</v>
      </c>
      <c r="I50" s="476">
        <v>21450.6</v>
      </c>
    </row>
    <row r="51" spans="2:9">
      <c r="B51" s="472">
        <v>50</v>
      </c>
      <c r="C51" s="473" t="s">
        <v>420</v>
      </c>
      <c r="D51" s="474">
        <v>10200</v>
      </c>
      <c r="G51" s="472">
        <v>50</v>
      </c>
      <c r="H51" s="475" t="s">
        <v>421</v>
      </c>
      <c r="I51" s="476">
        <v>40881.599999999999</v>
      </c>
    </row>
    <row r="52" spans="2:9">
      <c r="B52" s="472">
        <v>51</v>
      </c>
      <c r="C52" s="473" t="s">
        <v>422</v>
      </c>
      <c r="D52" s="474">
        <v>10200</v>
      </c>
      <c r="G52" s="472">
        <v>51</v>
      </c>
      <c r="H52" s="475" t="s">
        <v>423</v>
      </c>
      <c r="I52" s="476">
        <v>20451</v>
      </c>
    </row>
    <row r="53" spans="2:9">
      <c r="B53" s="472">
        <v>52</v>
      </c>
      <c r="C53" s="473" t="s">
        <v>424</v>
      </c>
      <c r="D53" s="474">
        <v>10200</v>
      </c>
      <c r="G53" s="472">
        <v>52</v>
      </c>
      <c r="H53" s="475" t="s">
        <v>425</v>
      </c>
      <c r="I53" s="476">
        <v>18360</v>
      </c>
    </row>
    <row r="54" spans="2:9">
      <c r="B54" s="472">
        <v>53</v>
      </c>
      <c r="C54" s="473" t="s">
        <v>426</v>
      </c>
      <c r="D54" s="474">
        <v>10200</v>
      </c>
      <c r="G54" s="472">
        <v>53</v>
      </c>
      <c r="H54" s="475" t="s">
        <v>427</v>
      </c>
      <c r="I54" s="476">
        <v>18370.2</v>
      </c>
    </row>
    <row r="55" spans="2:9">
      <c r="B55" s="472">
        <v>54</v>
      </c>
      <c r="C55" s="473" t="s">
        <v>428</v>
      </c>
      <c r="D55" s="474">
        <v>10200</v>
      </c>
      <c r="G55" s="472">
        <v>54</v>
      </c>
      <c r="H55" s="475" t="s">
        <v>429</v>
      </c>
      <c r="I55" s="476">
        <v>17340</v>
      </c>
    </row>
    <row r="56" spans="2:9">
      <c r="B56" s="472">
        <v>55</v>
      </c>
      <c r="C56" s="473" t="s">
        <v>430</v>
      </c>
      <c r="D56" s="474">
        <v>10200</v>
      </c>
      <c r="G56" s="472">
        <v>55</v>
      </c>
      <c r="H56" s="475" t="s">
        <v>431</v>
      </c>
      <c r="I56" s="476">
        <v>14280</v>
      </c>
    </row>
    <row r="57" spans="2:9">
      <c r="B57" s="472">
        <v>56</v>
      </c>
      <c r="C57" s="473" t="s">
        <v>432</v>
      </c>
      <c r="D57" s="474">
        <v>10200</v>
      </c>
      <c r="G57" s="472">
        <v>56</v>
      </c>
      <c r="H57" s="475" t="s">
        <v>433</v>
      </c>
      <c r="I57" s="476">
        <v>40789.800000000003</v>
      </c>
    </row>
    <row r="58" spans="2:9">
      <c r="B58" s="472">
        <v>57</v>
      </c>
      <c r="C58" s="473" t="s">
        <v>434</v>
      </c>
      <c r="D58" s="474">
        <v>10200</v>
      </c>
      <c r="G58" s="472">
        <v>57</v>
      </c>
      <c r="H58" s="475" t="s">
        <v>435</v>
      </c>
      <c r="I58" s="476">
        <v>20440.8</v>
      </c>
    </row>
    <row r="59" spans="2:9">
      <c r="B59" s="472">
        <v>58</v>
      </c>
      <c r="C59" s="473" t="s">
        <v>436</v>
      </c>
      <c r="D59" s="474">
        <v>10200</v>
      </c>
      <c r="G59" s="472">
        <v>58</v>
      </c>
      <c r="H59" s="475" t="s">
        <v>437</v>
      </c>
      <c r="I59" s="476">
        <v>19135.2</v>
      </c>
    </row>
    <row r="60" spans="2:9">
      <c r="B60" s="472">
        <v>59</v>
      </c>
      <c r="C60" s="473" t="s">
        <v>438</v>
      </c>
      <c r="D60" s="474">
        <v>10200</v>
      </c>
      <c r="G60" s="472">
        <v>59</v>
      </c>
      <c r="H60" s="475" t="s">
        <v>439</v>
      </c>
      <c r="I60" s="476">
        <v>13260</v>
      </c>
    </row>
    <row r="61" spans="2:9">
      <c r="B61" s="472">
        <v>60</v>
      </c>
      <c r="C61" s="473" t="s">
        <v>440</v>
      </c>
      <c r="D61" s="474">
        <v>10200</v>
      </c>
      <c r="G61" s="472">
        <v>60</v>
      </c>
      <c r="H61" s="475" t="s">
        <v>441</v>
      </c>
      <c r="I61" s="476">
        <v>13851.6</v>
      </c>
    </row>
    <row r="62" spans="2:9">
      <c r="B62" s="472">
        <v>61</v>
      </c>
      <c r="C62" s="473" t="s">
        <v>442</v>
      </c>
      <c r="D62" s="474">
        <v>10200</v>
      </c>
      <c r="G62" s="472">
        <v>61</v>
      </c>
      <c r="H62" s="475" t="s">
        <v>443</v>
      </c>
      <c r="I62" s="476">
        <v>14280</v>
      </c>
    </row>
    <row r="63" spans="2:9">
      <c r="B63" s="472">
        <v>62</v>
      </c>
      <c r="C63" s="473" t="s">
        <v>444</v>
      </c>
      <c r="D63" s="474">
        <v>10200</v>
      </c>
      <c r="G63" s="472">
        <v>62</v>
      </c>
      <c r="H63" s="475" t="s">
        <v>445</v>
      </c>
      <c r="I63" s="476">
        <v>17360.400000000001</v>
      </c>
    </row>
    <row r="64" spans="2:9">
      <c r="B64" s="472">
        <v>63</v>
      </c>
      <c r="C64" s="473" t="s">
        <v>446</v>
      </c>
      <c r="D64" s="474">
        <v>10200</v>
      </c>
      <c r="G64" s="472">
        <v>63</v>
      </c>
      <c r="H64" s="475" t="s">
        <v>447</v>
      </c>
      <c r="I64" s="476">
        <v>17340</v>
      </c>
    </row>
    <row r="65" spans="2:9">
      <c r="B65" s="472">
        <v>64</v>
      </c>
      <c r="C65" s="473" t="s">
        <v>448</v>
      </c>
      <c r="D65" s="474">
        <v>10200</v>
      </c>
      <c r="G65" s="472">
        <v>64</v>
      </c>
      <c r="H65" s="475" t="s">
        <v>449</v>
      </c>
      <c r="I65" s="476">
        <v>18900.599999999999</v>
      </c>
    </row>
    <row r="66" spans="2:9">
      <c r="B66" s="472">
        <v>65</v>
      </c>
      <c r="C66" s="473" t="s">
        <v>450</v>
      </c>
      <c r="D66" s="474">
        <v>10200</v>
      </c>
      <c r="G66" s="472">
        <v>65</v>
      </c>
      <c r="H66" s="475" t="s">
        <v>451</v>
      </c>
      <c r="I66" s="476">
        <v>18370.2</v>
      </c>
    </row>
    <row r="67" spans="2:9">
      <c r="B67" s="472">
        <v>66</v>
      </c>
      <c r="C67" s="473" t="s">
        <v>452</v>
      </c>
      <c r="D67" s="474">
        <v>10200</v>
      </c>
      <c r="G67" s="472">
        <v>66</v>
      </c>
      <c r="H67" s="475" t="s">
        <v>453</v>
      </c>
      <c r="I67" s="476">
        <v>15320.4</v>
      </c>
    </row>
    <row r="68" spans="2:9">
      <c r="B68" s="472">
        <v>67</v>
      </c>
      <c r="C68" s="473" t="s">
        <v>454</v>
      </c>
      <c r="D68" s="474">
        <v>10200</v>
      </c>
      <c r="G68" s="472">
        <v>67</v>
      </c>
      <c r="H68" s="475" t="s">
        <v>455</v>
      </c>
      <c r="I68" s="476">
        <v>19400.400000000001</v>
      </c>
    </row>
    <row r="69" spans="2:9">
      <c r="B69" s="472">
        <v>68</v>
      </c>
      <c r="C69" s="473" t="s">
        <v>456</v>
      </c>
      <c r="D69" s="474">
        <v>10200</v>
      </c>
      <c r="G69" s="472">
        <v>68</v>
      </c>
      <c r="H69" s="475" t="s">
        <v>457</v>
      </c>
      <c r="I69" s="476">
        <v>19390.2</v>
      </c>
    </row>
    <row r="70" spans="2:9">
      <c r="B70" s="472">
        <v>69</v>
      </c>
      <c r="C70" s="473" t="s">
        <v>458</v>
      </c>
      <c r="D70" s="474">
        <v>10200</v>
      </c>
      <c r="G70" s="472">
        <v>69</v>
      </c>
      <c r="H70" s="475" t="s">
        <v>459</v>
      </c>
      <c r="I70" s="476">
        <v>19390.2</v>
      </c>
    </row>
    <row r="71" spans="2:9">
      <c r="B71" s="472">
        <v>70</v>
      </c>
      <c r="C71" s="473" t="s">
        <v>460</v>
      </c>
      <c r="D71" s="474">
        <v>10200</v>
      </c>
      <c r="G71" s="472">
        <v>70</v>
      </c>
      <c r="H71" s="475" t="s">
        <v>461</v>
      </c>
      <c r="I71" s="476">
        <v>19390.2</v>
      </c>
    </row>
    <row r="72" spans="2:9">
      <c r="B72" s="472">
        <v>71</v>
      </c>
      <c r="C72" s="473" t="s">
        <v>462</v>
      </c>
      <c r="D72" s="474">
        <v>10200</v>
      </c>
      <c r="G72" s="472">
        <v>71</v>
      </c>
      <c r="H72" s="475" t="s">
        <v>463</v>
      </c>
      <c r="I72" s="476">
        <v>20420.400000000001</v>
      </c>
    </row>
    <row r="73" spans="2:9">
      <c r="B73" s="472">
        <v>72</v>
      </c>
      <c r="C73" s="473" t="s">
        <v>464</v>
      </c>
      <c r="D73" s="474">
        <v>10200</v>
      </c>
      <c r="G73" s="472">
        <v>72</v>
      </c>
      <c r="H73" s="475" t="s">
        <v>465</v>
      </c>
      <c r="I73" s="476">
        <v>20430.599999999999</v>
      </c>
    </row>
    <row r="74" spans="2:9">
      <c r="B74" s="472">
        <v>73</v>
      </c>
      <c r="C74" s="473" t="s">
        <v>466</v>
      </c>
      <c r="D74" s="474">
        <v>10200</v>
      </c>
      <c r="G74" s="472">
        <v>73</v>
      </c>
      <c r="H74" s="475" t="s">
        <v>467</v>
      </c>
      <c r="I74" s="476">
        <v>20430.599999999999</v>
      </c>
    </row>
    <row r="75" spans="2:9">
      <c r="B75" s="472">
        <v>74</v>
      </c>
      <c r="C75" s="473" t="s">
        <v>468</v>
      </c>
      <c r="D75" s="474">
        <v>10200</v>
      </c>
      <c r="G75" s="472">
        <v>74</v>
      </c>
      <c r="H75" s="475" t="s">
        <v>469</v>
      </c>
      <c r="I75" s="476">
        <v>38698.800000000003</v>
      </c>
    </row>
    <row r="76" spans="2:9">
      <c r="B76" s="472">
        <v>75</v>
      </c>
      <c r="C76" s="473" t="s">
        <v>470</v>
      </c>
      <c r="D76" s="474">
        <v>10200</v>
      </c>
      <c r="G76" s="472">
        <v>75</v>
      </c>
      <c r="H76" s="475" t="s">
        <v>471</v>
      </c>
      <c r="I76" s="476">
        <v>15320.4</v>
      </c>
    </row>
    <row r="77" spans="2:9">
      <c r="B77" s="472">
        <v>76</v>
      </c>
      <c r="C77" s="473" t="s">
        <v>472</v>
      </c>
      <c r="D77" s="474">
        <v>10200</v>
      </c>
      <c r="G77" s="472">
        <v>76</v>
      </c>
      <c r="H77" s="475" t="s">
        <v>473</v>
      </c>
      <c r="I77" s="476">
        <v>18013.2</v>
      </c>
    </row>
    <row r="78" spans="2:9">
      <c r="B78" s="472">
        <v>77</v>
      </c>
      <c r="C78" s="473" t="s">
        <v>474</v>
      </c>
      <c r="D78" s="474">
        <v>10200</v>
      </c>
      <c r="G78" s="472">
        <v>77</v>
      </c>
      <c r="H78" s="475" t="s">
        <v>475</v>
      </c>
      <c r="I78" s="476">
        <v>15330.6</v>
      </c>
    </row>
    <row r="79" spans="2:9">
      <c r="B79" s="472">
        <v>78</v>
      </c>
      <c r="C79" s="473" t="s">
        <v>476</v>
      </c>
      <c r="D79" s="474">
        <v>10200</v>
      </c>
      <c r="G79" s="472">
        <v>78</v>
      </c>
      <c r="H79" s="475" t="s">
        <v>477</v>
      </c>
      <c r="I79" s="476">
        <v>20430.599999999999</v>
      </c>
    </row>
    <row r="80" spans="2:9">
      <c r="B80" s="472">
        <v>79</v>
      </c>
      <c r="C80" s="473" t="s">
        <v>478</v>
      </c>
      <c r="D80" s="474">
        <v>10200</v>
      </c>
      <c r="G80" s="472">
        <v>79</v>
      </c>
      <c r="H80" s="475" t="s">
        <v>479</v>
      </c>
      <c r="I80" s="476">
        <v>20430.599999999999</v>
      </c>
    </row>
    <row r="81" spans="2:9">
      <c r="B81" s="472">
        <v>80</v>
      </c>
      <c r="C81" s="473" t="s">
        <v>480</v>
      </c>
      <c r="D81" s="474">
        <v>10200</v>
      </c>
      <c r="G81" s="472">
        <v>80</v>
      </c>
      <c r="H81" s="475" t="s">
        <v>481</v>
      </c>
      <c r="I81" s="476">
        <v>20430.599999999999</v>
      </c>
    </row>
    <row r="82" spans="2:9">
      <c r="B82" s="472">
        <v>81</v>
      </c>
      <c r="C82" s="473" t="s">
        <v>482</v>
      </c>
      <c r="D82" s="474">
        <v>10200</v>
      </c>
      <c r="G82" s="472">
        <v>81</v>
      </c>
      <c r="H82" s="475" t="s">
        <v>483</v>
      </c>
      <c r="I82" s="476">
        <v>20430.599999999999</v>
      </c>
    </row>
    <row r="83" spans="2:9">
      <c r="B83" s="472">
        <v>82</v>
      </c>
      <c r="C83" s="473" t="s">
        <v>484</v>
      </c>
      <c r="D83" s="474">
        <v>10200</v>
      </c>
      <c r="G83" s="472">
        <v>82</v>
      </c>
      <c r="H83" s="475" t="s">
        <v>485</v>
      </c>
      <c r="I83" s="476">
        <v>19992</v>
      </c>
    </row>
    <row r="84" spans="2:9">
      <c r="B84" s="472">
        <v>83</v>
      </c>
      <c r="C84" s="473" t="s">
        <v>486</v>
      </c>
      <c r="D84" s="474">
        <v>10200</v>
      </c>
      <c r="G84" s="472">
        <v>83</v>
      </c>
      <c r="H84" s="475" t="s">
        <v>487</v>
      </c>
      <c r="I84" s="476">
        <v>20165.400000000001</v>
      </c>
    </row>
    <row r="85" spans="2:9">
      <c r="B85" s="472">
        <v>84</v>
      </c>
      <c r="C85" s="473" t="s">
        <v>488</v>
      </c>
      <c r="D85" s="474">
        <v>10200</v>
      </c>
      <c r="G85" s="472">
        <v>84</v>
      </c>
      <c r="H85" s="475" t="s">
        <v>489</v>
      </c>
      <c r="I85" s="476">
        <v>15320.4</v>
      </c>
    </row>
    <row r="86" spans="2:9">
      <c r="B86" s="472">
        <v>85</v>
      </c>
      <c r="C86" s="473" t="s">
        <v>490</v>
      </c>
      <c r="D86" s="474">
        <v>10200</v>
      </c>
      <c r="G86" s="472">
        <v>85</v>
      </c>
      <c r="H86" s="475" t="s">
        <v>491</v>
      </c>
      <c r="I86" s="476">
        <v>17799</v>
      </c>
    </row>
    <row r="87" spans="2:9">
      <c r="B87" s="472">
        <v>86</v>
      </c>
      <c r="C87" s="473" t="s">
        <v>492</v>
      </c>
      <c r="D87" s="474">
        <v>10200</v>
      </c>
      <c r="G87" s="472">
        <v>86</v>
      </c>
      <c r="H87" s="475" t="s">
        <v>493</v>
      </c>
      <c r="I87" s="476">
        <v>15330.6</v>
      </c>
    </row>
    <row r="88" spans="2:9">
      <c r="B88" s="472">
        <v>87</v>
      </c>
      <c r="C88" s="473" t="s">
        <v>494</v>
      </c>
      <c r="D88" s="474">
        <v>10200</v>
      </c>
      <c r="G88" s="472">
        <v>87</v>
      </c>
      <c r="H88" s="475" t="s">
        <v>495</v>
      </c>
      <c r="I88" s="476">
        <v>14290.2</v>
      </c>
    </row>
    <row r="89" spans="2:9">
      <c r="B89" s="472">
        <v>88</v>
      </c>
      <c r="C89" s="473" t="s">
        <v>496</v>
      </c>
      <c r="D89" s="474">
        <v>10200</v>
      </c>
      <c r="G89" s="472">
        <v>88</v>
      </c>
      <c r="H89" s="475" t="s">
        <v>497</v>
      </c>
      <c r="I89" s="476">
        <v>21001.8</v>
      </c>
    </row>
    <row r="90" spans="2:9">
      <c r="B90" s="472">
        <v>89</v>
      </c>
      <c r="C90" s="473" t="s">
        <v>498</v>
      </c>
      <c r="D90" s="474">
        <v>10200</v>
      </c>
      <c r="G90" s="472">
        <v>89</v>
      </c>
      <c r="H90" s="475" t="s">
        <v>499</v>
      </c>
      <c r="I90" s="476">
        <v>14280</v>
      </c>
    </row>
    <row r="91" spans="2:9">
      <c r="B91" s="472">
        <v>90</v>
      </c>
      <c r="C91" s="473" t="s">
        <v>500</v>
      </c>
      <c r="D91" s="474">
        <v>10200</v>
      </c>
      <c r="G91" s="472">
        <v>90</v>
      </c>
      <c r="H91" s="475" t="s">
        <v>501</v>
      </c>
      <c r="I91" s="476">
        <v>15320.4</v>
      </c>
    </row>
    <row r="92" spans="2:9">
      <c r="B92" s="472">
        <v>91</v>
      </c>
      <c r="C92" s="473" t="s">
        <v>502</v>
      </c>
      <c r="D92" s="474">
        <v>10200</v>
      </c>
      <c r="G92" s="472">
        <v>91</v>
      </c>
      <c r="H92" s="475" t="s">
        <v>503</v>
      </c>
      <c r="I92" s="476">
        <v>15320.4</v>
      </c>
    </row>
    <row r="93" spans="2:9">
      <c r="B93" s="472">
        <v>92</v>
      </c>
      <c r="C93" s="473" t="s">
        <v>504</v>
      </c>
      <c r="D93" s="474">
        <v>10200</v>
      </c>
      <c r="G93" s="472">
        <v>92</v>
      </c>
      <c r="H93" s="475" t="s">
        <v>505</v>
      </c>
      <c r="I93" s="476">
        <v>15320.4</v>
      </c>
    </row>
    <row r="94" spans="2:9">
      <c r="B94" s="472">
        <v>93</v>
      </c>
      <c r="C94" s="473" t="s">
        <v>506</v>
      </c>
      <c r="D94" s="474">
        <v>10200</v>
      </c>
      <c r="G94" s="472">
        <v>93</v>
      </c>
      <c r="H94" s="475" t="s">
        <v>507</v>
      </c>
      <c r="I94" s="476">
        <v>14290.2</v>
      </c>
    </row>
    <row r="95" spans="2:9">
      <c r="B95" s="472">
        <v>94</v>
      </c>
      <c r="C95" s="473" t="s">
        <v>508</v>
      </c>
      <c r="D95" s="474">
        <v>10200</v>
      </c>
      <c r="G95" s="472">
        <v>94</v>
      </c>
      <c r="H95" s="475" t="s">
        <v>509</v>
      </c>
      <c r="I95" s="476">
        <v>14290.2</v>
      </c>
    </row>
    <row r="96" spans="2:9">
      <c r="B96" s="472">
        <v>95</v>
      </c>
      <c r="C96" s="473" t="s">
        <v>510</v>
      </c>
      <c r="D96" s="474">
        <v>10200</v>
      </c>
      <c r="G96" s="472">
        <v>95</v>
      </c>
      <c r="H96" s="475" t="s">
        <v>511</v>
      </c>
      <c r="I96" s="476">
        <v>16350.6</v>
      </c>
    </row>
    <row r="97" spans="2:9">
      <c r="B97" s="472">
        <v>96</v>
      </c>
      <c r="C97" s="473" t="s">
        <v>512</v>
      </c>
      <c r="D97" s="474">
        <v>10200</v>
      </c>
      <c r="G97" s="472">
        <v>96</v>
      </c>
      <c r="H97" s="475" t="s">
        <v>513</v>
      </c>
      <c r="I97" s="476">
        <v>14300.4</v>
      </c>
    </row>
    <row r="98" spans="2:9">
      <c r="B98" s="472">
        <v>97</v>
      </c>
      <c r="C98" s="473" t="s">
        <v>514</v>
      </c>
      <c r="D98" s="474">
        <v>10200</v>
      </c>
      <c r="G98" s="472">
        <v>97</v>
      </c>
      <c r="H98" s="475" t="s">
        <v>515</v>
      </c>
      <c r="I98" s="476">
        <v>13902.6</v>
      </c>
    </row>
    <row r="99" spans="2:9">
      <c r="B99" s="472">
        <v>98</v>
      </c>
      <c r="C99" s="473" t="s">
        <v>516</v>
      </c>
      <c r="D99" s="474">
        <v>10200</v>
      </c>
      <c r="G99" s="472">
        <v>98</v>
      </c>
      <c r="H99" s="475" t="s">
        <v>517</v>
      </c>
      <c r="I99" s="476">
        <v>16350.6</v>
      </c>
    </row>
    <row r="100" spans="2:9">
      <c r="B100" s="472">
        <v>99</v>
      </c>
      <c r="C100" s="473" t="s">
        <v>518</v>
      </c>
      <c r="D100" s="474">
        <v>10200</v>
      </c>
      <c r="G100" s="472">
        <v>99</v>
      </c>
      <c r="H100" s="475" t="s">
        <v>519</v>
      </c>
      <c r="I100" s="476">
        <v>14290.2</v>
      </c>
    </row>
    <row r="101" spans="2:9">
      <c r="B101" s="472">
        <v>100</v>
      </c>
      <c r="C101" s="473" t="s">
        <v>520</v>
      </c>
      <c r="D101" s="474">
        <v>10200</v>
      </c>
      <c r="G101" s="472">
        <v>100</v>
      </c>
      <c r="H101" s="475" t="s">
        <v>521</v>
      </c>
      <c r="I101" s="476">
        <v>15310.2</v>
      </c>
    </row>
    <row r="102" spans="2:9">
      <c r="B102" s="472">
        <v>101</v>
      </c>
      <c r="C102" s="473" t="s">
        <v>522</v>
      </c>
      <c r="D102" s="474">
        <v>10200</v>
      </c>
      <c r="G102" s="472">
        <v>101</v>
      </c>
      <c r="H102" s="475" t="s">
        <v>523</v>
      </c>
      <c r="I102" s="476">
        <v>18380.400000000001</v>
      </c>
    </row>
    <row r="103" spans="2:9">
      <c r="B103" s="472">
        <v>102</v>
      </c>
      <c r="C103" s="473" t="s">
        <v>524</v>
      </c>
      <c r="D103" s="474">
        <v>10200</v>
      </c>
      <c r="G103" s="472">
        <v>102</v>
      </c>
      <c r="H103" s="475" t="s">
        <v>525</v>
      </c>
      <c r="I103" s="476">
        <v>19604.400000000001</v>
      </c>
    </row>
    <row r="104" spans="2:9">
      <c r="B104" s="472">
        <v>103</v>
      </c>
      <c r="C104" s="473" t="s">
        <v>526</v>
      </c>
      <c r="D104" s="474">
        <v>10200</v>
      </c>
      <c r="G104" s="472">
        <v>103</v>
      </c>
      <c r="H104" s="475" t="s">
        <v>527</v>
      </c>
      <c r="I104" s="476">
        <v>19431</v>
      </c>
    </row>
    <row r="105" spans="2:9">
      <c r="B105" s="472">
        <v>104</v>
      </c>
      <c r="C105" s="473" t="s">
        <v>528</v>
      </c>
      <c r="D105" s="474">
        <v>10200</v>
      </c>
      <c r="G105" s="472">
        <v>104</v>
      </c>
      <c r="H105" s="475" t="s">
        <v>529</v>
      </c>
      <c r="I105" s="476">
        <v>15320.4</v>
      </c>
    </row>
    <row r="106" spans="2:9">
      <c r="B106" s="472">
        <v>105</v>
      </c>
      <c r="C106" s="473" t="s">
        <v>530</v>
      </c>
      <c r="D106" s="474">
        <v>10200</v>
      </c>
      <c r="G106" s="472">
        <v>105</v>
      </c>
      <c r="H106" s="475" t="s">
        <v>531</v>
      </c>
      <c r="I106" s="476">
        <v>15330.6</v>
      </c>
    </row>
    <row r="107" spans="2:9">
      <c r="B107" s="472">
        <v>106</v>
      </c>
      <c r="C107" s="473" t="s">
        <v>532</v>
      </c>
      <c r="D107" s="474">
        <v>10200</v>
      </c>
      <c r="G107" s="472">
        <v>106</v>
      </c>
      <c r="H107" s="475" t="s">
        <v>533</v>
      </c>
      <c r="I107" s="476">
        <v>15330.6</v>
      </c>
    </row>
    <row r="108" spans="2:9">
      <c r="B108" s="472">
        <v>107</v>
      </c>
      <c r="C108" s="473" t="s">
        <v>534</v>
      </c>
      <c r="D108" s="474">
        <v>10200</v>
      </c>
      <c r="G108" s="472">
        <v>107</v>
      </c>
      <c r="H108" s="475" t="s">
        <v>535</v>
      </c>
      <c r="I108" s="476">
        <v>16320</v>
      </c>
    </row>
    <row r="109" spans="2:9">
      <c r="B109" s="472">
        <v>108</v>
      </c>
      <c r="C109" s="473" t="s">
        <v>536</v>
      </c>
      <c r="D109" s="474">
        <v>10200</v>
      </c>
      <c r="G109" s="472">
        <v>108</v>
      </c>
      <c r="H109" s="475" t="s">
        <v>537</v>
      </c>
      <c r="I109" s="476">
        <v>19410.599999999999</v>
      </c>
    </row>
    <row r="110" spans="2:9">
      <c r="B110" s="472">
        <v>109</v>
      </c>
      <c r="C110" s="473" t="s">
        <v>538</v>
      </c>
      <c r="D110" s="474">
        <v>10200</v>
      </c>
      <c r="G110" s="472">
        <v>109</v>
      </c>
      <c r="H110" s="475" t="s">
        <v>539</v>
      </c>
      <c r="I110" s="476">
        <v>24510.6</v>
      </c>
    </row>
    <row r="111" spans="2:9">
      <c r="C111" s="477"/>
      <c r="D111" s="478"/>
      <c r="G111" s="472">
        <v>110</v>
      </c>
      <c r="H111" s="475" t="s">
        <v>540</v>
      </c>
      <c r="I111" s="476">
        <v>16350.6</v>
      </c>
    </row>
    <row r="112" spans="2:9">
      <c r="G112" s="472">
        <v>111</v>
      </c>
      <c r="H112" s="475" t="s">
        <v>541</v>
      </c>
      <c r="I112" s="476">
        <v>15881.4</v>
      </c>
    </row>
    <row r="113" spans="7:9">
      <c r="G113" s="472">
        <v>112</v>
      </c>
      <c r="H113" s="475" t="s">
        <v>542</v>
      </c>
      <c r="I113" s="476">
        <v>16350.6</v>
      </c>
    </row>
    <row r="114" spans="7:9">
      <c r="G114" s="472">
        <v>113</v>
      </c>
      <c r="H114" s="475" t="s">
        <v>543</v>
      </c>
      <c r="I114" s="476">
        <v>13566</v>
      </c>
    </row>
    <row r="115" spans="7:9">
      <c r="G115" s="472">
        <v>114</v>
      </c>
      <c r="H115" s="475" t="s">
        <v>544</v>
      </c>
      <c r="I115" s="476">
        <v>13280.4</v>
      </c>
    </row>
    <row r="116" spans="7:9">
      <c r="G116" s="472">
        <v>115</v>
      </c>
      <c r="H116" s="475" t="s">
        <v>545</v>
      </c>
      <c r="I116" s="476">
        <v>15351</v>
      </c>
    </row>
    <row r="117" spans="7:9">
      <c r="G117" s="472">
        <v>116</v>
      </c>
      <c r="H117" s="475" t="s">
        <v>546</v>
      </c>
      <c r="I117" s="476">
        <v>14300.4</v>
      </c>
    </row>
    <row r="118" spans="7:9">
      <c r="G118" s="472">
        <v>117</v>
      </c>
      <c r="H118" s="475" t="s">
        <v>547</v>
      </c>
      <c r="I118" s="476">
        <v>20420.400000000001</v>
      </c>
    </row>
    <row r="119" spans="7:9">
      <c r="G119" s="472">
        <v>118</v>
      </c>
      <c r="H119" s="475" t="s">
        <v>548</v>
      </c>
      <c r="I119" s="476">
        <v>15422.4</v>
      </c>
    </row>
    <row r="120" spans="7:9">
      <c r="G120" s="472">
        <v>119</v>
      </c>
      <c r="H120" s="475" t="s">
        <v>549</v>
      </c>
      <c r="I120" s="476">
        <v>15391.8</v>
      </c>
    </row>
    <row r="121" spans="7:9">
      <c r="G121" s="472">
        <v>120</v>
      </c>
      <c r="H121" s="475" t="s">
        <v>550</v>
      </c>
      <c r="I121" s="476">
        <v>20420.400000000001</v>
      </c>
    </row>
    <row r="122" spans="7:9">
      <c r="G122" s="472">
        <v>121</v>
      </c>
      <c r="H122" s="475" t="s">
        <v>551</v>
      </c>
      <c r="I122" s="476">
        <v>20512.2</v>
      </c>
    </row>
    <row r="123" spans="7:9">
      <c r="G123" s="472">
        <v>122</v>
      </c>
      <c r="H123" s="475" t="s">
        <v>552</v>
      </c>
      <c r="I123" s="476">
        <v>27560.400000000001</v>
      </c>
    </row>
    <row r="124" spans="7:9">
      <c r="G124" s="472">
        <v>123</v>
      </c>
      <c r="H124" s="475" t="s">
        <v>553</v>
      </c>
      <c r="I124" s="476">
        <v>20420.400000000001</v>
      </c>
    </row>
    <row r="125" spans="7:9">
      <c r="G125" s="472">
        <v>124</v>
      </c>
      <c r="H125" s="475" t="s">
        <v>554</v>
      </c>
      <c r="I125" s="476">
        <v>15463.2</v>
      </c>
    </row>
    <row r="126" spans="7:9">
      <c r="G126" s="472">
        <v>125</v>
      </c>
      <c r="H126" s="475" t="s">
        <v>555</v>
      </c>
      <c r="I126" s="476">
        <v>31008</v>
      </c>
    </row>
    <row r="127" spans="7:9">
      <c r="G127" s="472">
        <v>126</v>
      </c>
      <c r="H127" s="475" t="s">
        <v>556</v>
      </c>
      <c r="I127" s="476">
        <v>3876</v>
      </c>
    </row>
    <row r="128" spans="7:9">
      <c r="G128" s="472">
        <v>127</v>
      </c>
      <c r="H128" s="475" t="s">
        <v>557</v>
      </c>
      <c r="I128" s="476">
        <v>11607.6</v>
      </c>
    </row>
    <row r="129" spans="7:9">
      <c r="G129" s="472">
        <v>128</v>
      </c>
      <c r="H129" s="475" t="s">
        <v>558</v>
      </c>
      <c r="I129" s="476">
        <v>13096.8</v>
      </c>
    </row>
    <row r="130" spans="7:9">
      <c r="G130" s="472">
        <v>129</v>
      </c>
      <c r="H130" s="475" t="s">
        <v>559</v>
      </c>
      <c r="I130" s="476">
        <v>15320.4</v>
      </c>
    </row>
    <row r="131" spans="7:9">
      <c r="G131" s="472">
        <v>130</v>
      </c>
      <c r="H131" s="475" t="s">
        <v>560</v>
      </c>
      <c r="I131" s="476">
        <v>12872.4</v>
      </c>
    </row>
    <row r="132" spans="7:9">
      <c r="G132" s="472">
        <v>131</v>
      </c>
      <c r="H132" s="475" t="s">
        <v>561</v>
      </c>
      <c r="I132" s="476">
        <v>15748.8</v>
      </c>
    </row>
    <row r="133" spans="7:9">
      <c r="G133" s="472">
        <v>132</v>
      </c>
      <c r="H133" s="475" t="s">
        <v>562</v>
      </c>
      <c r="I133" s="476">
        <v>12097.2</v>
      </c>
    </row>
    <row r="134" spans="7:9">
      <c r="G134" s="472">
        <v>133</v>
      </c>
      <c r="H134" s="475" t="s">
        <v>563</v>
      </c>
      <c r="I134" s="476">
        <v>14361.6</v>
      </c>
    </row>
    <row r="135" spans="7:9">
      <c r="G135" s="472">
        <v>134</v>
      </c>
      <c r="H135" s="475" t="s">
        <v>564</v>
      </c>
      <c r="I135" s="476">
        <v>17778.599999999999</v>
      </c>
    </row>
    <row r="136" spans="7:9">
      <c r="G136" s="472">
        <v>135</v>
      </c>
      <c r="H136" s="475" t="s">
        <v>565</v>
      </c>
      <c r="I136" s="476">
        <v>18390.599999999999</v>
      </c>
    </row>
    <row r="137" spans="7:9">
      <c r="G137" s="472">
        <v>136</v>
      </c>
      <c r="H137" s="475" t="s">
        <v>566</v>
      </c>
      <c r="I137" s="476">
        <v>19410.599999999999</v>
      </c>
    </row>
    <row r="138" spans="7:9">
      <c r="G138" s="472">
        <v>137</v>
      </c>
      <c r="H138" s="475" t="s">
        <v>567</v>
      </c>
      <c r="I138" s="476">
        <v>18390.599999999999</v>
      </c>
    </row>
    <row r="139" spans="7:9">
      <c r="G139" s="472">
        <v>138</v>
      </c>
      <c r="H139" s="475" t="s">
        <v>568</v>
      </c>
      <c r="I139" s="476">
        <v>20420.400000000001</v>
      </c>
    </row>
    <row r="140" spans="7:9">
      <c r="G140" s="472">
        <v>139</v>
      </c>
      <c r="H140" s="475" t="s">
        <v>569</v>
      </c>
      <c r="I140" s="476">
        <v>29610.6</v>
      </c>
    </row>
    <row r="141" spans="7:9">
      <c r="G141" s="472">
        <v>140</v>
      </c>
      <c r="H141" s="475" t="s">
        <v>570</v>
      </c>
      <c r="I141" s="476">
        <v>27693</v>
      </c>
    </row>
    <row r="142" spans="7:9">
      <c r="G142" s="472">
        <v>141</v>
      </c>
      <c r="H142" s="475" t="s">
        <v>571</v>
      </c>
      <c r="I142" s="476">
        <v>20461.2</v>
      </c>
    </row>
    <row r="143" spans="7:9">
      <c r="G143" s="472">
        <v>142</v>
      </c>
      <c r="H143" s="475" t="s">
        <v>572</v>
      </c>
      <c r="I143" s="476">
        <v>21471</v>
      </c>
    </row>
    <row r="144" spans="7:9">
      <c r="G144" s="472">
        <v>143</v>
      </c>
      <c r="H144" s="475" t="s">
        <v>573</v>
      </c>
      <c r="I144" s="476">
        <v>18380.400000000001</v>
      </c>
    </row>
    <row r="145" spans="7:9">
      <c r="G145" s="472">
        <v>144</v>
      </c>
      <c r="H145" s="475" t="s">
        <v>574</v>
      </c>
      <c r="I145" s="476">
        <v>21450.6</v>
      </c>
    </row>
    <row r="146" spans="7:9">
      <c r="G146" s="472">
        <v>145</v>
      </c>
      <c r="H146" s="475" t="s">
        <v>575</v>
      </c>
      <c r="I146" s="476">
        <v>14320.8</v>
      </c>
    </row>
    <row r="147" spans="7:9">
      <c r="G147" s="472">
        <v>146</v>
      </c>
      <c r="H147" s="475" t="s">
        <v>576</v>
      </c>
      <c r="I147" s="476">
        <v>14341.2</v>
      </c>
    </row>
    <row r="148" spans="7:9">
      <c r="G148" s="472">
        <v>147</v>
      </c>
      <c r="H148" s="475" t="s">
        <v>577</v>
      </c>
      <c r="I148" s="476">
        <v>12087</v>
      </c>
    </row>
    <row r="149" spans="7:9">
      <c r="G149" s="472">
        <v>148</v>
      </c>
      <c r="H149" s="475" t="s">
        <v>578</v>
      </c>
      <c r="I149" s="476">
        <v>11852.4</v>
      </c>
    </row>
    <row r="150" spans="7:9">
      <c r="G150" s="472">
        <v>149</v>
      </c>
      <c r="H150" s="475" t="s">
        <v>579</v>
      </c>
      <c r="I150" s="476">
        <v>16320</v>
      </c>
    </row>
    <row r="151" spans="7:9">
      <c r="G151" s="472">
        <v>150</v>
      </c>
      <c r="H151" s="475" t="s">
        <v>580</v>
      </c>
      <c r="I151" s="476">
        <v>16330.2</v>
      </c>
    </row>
    <row r="152" spans="7:9">
      <c r="G152" s="472">
        <v>151</v>
      </c>
      <c r="H152" s="475" t="s">
        <v>581</v>
      </c>
      <c r="I152" s="476">
        <v>6048.6</v>
      </c>
    </row>
    <row r="153" spans="7:9">
      <c r="G153" s="472">
        <v>152</v>
      </c>
      <c r="H153" s="475" t="s">
        <v>582</v>
      </c>
      <c r="I153" s="476">
        <v>6048.6</v>
      </c>
    </row>
    <row r="154" spans="7:9">
      <c r="G154" s="472">
        <v>153</v>
      </c>
      <c r="H154" s="475" t="s">
        <v>583</v>
      </c>
      <c r="I154" s="476">
        <v>14290.2</v>
      </c>
    </row>
    <row r="155" spans="7:9">
      <c r="G155" s="472">
        <v>154</v>
      </c>
      <c r="H155" s="475" t="s">
        <v>584</v>
      </c>
      <c r="I155" s="476">
        <v>19614.599999999999</v>
      </c>
    </row>
    <row r="156" spans="7:9">
      <c r="G156" s="472">
        <v>155</v>
      </c>
      <c r="H156" s="475" t="s">
        <v>585</v>
      </c>
      <c r="I156" s="476">
        <v>20420.400000000001</v>
      </c>
    </row>
    <row r="157" spans="7:9">
      <c r="G157" s="472">
        <v>156</v>
      </c>
      <c r="H157" s="475" t="s">
        <v>586</v>
      </c>
      <c r="I157" s="476">
        <v>29610.6</v>
      </c>
    </row>
    <row r="158" spans="7:9">
      <c r="G158" s="472">
        <v>157</v>
      </c>
      <c r="H158" s="475" t="s">
        <v>587</v>
      </c>
      <c r="I158" s="476">
        <v>26826</v>
      </c>
    </row>
    <row r="159" spans="7:9">
      <c r="G159" s="472">
        <v>158</v>
      </c>
      <c r="H159" s="475" t="s">
        <v>588</v>
      </c>
      <c r="I159" s="476">
        <v>20461.2</v>
      </c>
    </row>
    <row r="160" spans="7:9">
      <c r="G160" s="472">
        <v>159</v>
      </c>
      <c r="H160" s="475" t="s">
        <v>589</v>
      </c>
      <c r="I160" s="476">
        <v>16330.2</v>
      </c>
    </row>
    <row r="161" spans="7:9">
      <c r="G161" s="472">
        <v>160</v>
      </c>
      <c r="H161" s="475" t="s">
        <v>590</v>
      </c>
      <c r="I161" s="476">
        <v>16330.2</v>
      </c>
    </row>
    <row r="162" spans="7:9">
      <c r="G162" s="472">
        <v>161</v>
      </c>
      <c r="H162" s="475" t="s">
        <v>591</v>
      </c>
      <c r="I162" s="476">
        <v>14280</v>
      </c>
    </row>
    <row r="163" spans="7:9">
      <c r="G163" s="472">
        <v>162</v>
      </c>
      <c r="H163" s="475" t="s">
        <v>592</v>
      </c>
      <c r="I163" s="476">
        <v>14290.2</v>
      </c>
    </row>
    <row r="164" spans="7:9">
      <c r="G164" s="472">
        <v>163</v>
      </c>
      <c r="H164" s="475" t="s">
        <v>593</v>
      </c>
      <c r="I164" s="476">
        <v>12036</v>
      </c>
    </row>
    <row r="165" spans="7:9">
      <c r="G165" s="472">
        <v>164</v>
      </c>
      <c r="H165" s="475" t="s">
        <v>594</v>
      </c>
      <c r="I165" s="476">
        <v>13045.8</v>
      </c>
    </row>
    <row r="166" spans="7:9">
      <c r="G166" s="472">
        <v>165</v>
      </c>
      <c r="H166" s="475" t="s">
        <v>595</v>
      </c>
      <c r="I166" s="476">
        <v>16585.2</v>
      </c>
    </row>
    <row r="167" spans="7:9">
      <c r="G167" s="472">
        <v>166</v>
      </c>
      <c r="H167" s="475" t="s">
        <v>596</v>
      </c>
      <c r="I167" s="476">
        <v>15453</v>
      </c>
    </row>
    <row r="168" spans="7:9">
      <c r="G168" s="472">
        <v>167</v>
      </c>
      <c r="H168" s="475" t="s">
        <v>597</v>
      </c>
      <c r="I168" s="476">
        <v>15147</v>
      </c>
    </row>
    <row r="169" spans="7:9">
      <c r="G169" s="472">
        <v>168</v>
      </c>
      <c r="H169" s="475" t="s">
        <v>598</v>
      </c>
      <c r="I169" s="476">
        <v>20420.400000000001</v>
      </c>
    </row>
    <row r="170" spans="7:9">
      <c r="G170" s="472">
        <v>169</v>
      </c>
      <c r="H170" s="475" t="s">
        <v>599</v>
      </c>
      <c r="I170" s="476">
        <v>20410.2</v>
      </c>
    </row>
    <row r="171" spans="7:9">
      <c r="G171" s="472">
        <v>170</v>
      </c>
      <c r="H171" s="475" t="s">
        <v>600</v>
      </c>
      <c r="I171" s="476">
        <v>20410.2</v>
      </c>
    </row>
    <row r="172" spans="7:9">
      <c r="G172" s="472">
        <v>171</v>
      </c>
      <c r="H172" s="475" t="s">
        <v>601</v>
      </c>
      <c r="I172" s="476">
        <v>23347.8</v>
      </c>
    </row>
    <row r="173" spans="7:9">
      <c r="G173" s="472">
        <v>172</v>
      </c>
      <c r="H173" s="475" t="s">
        <v>602</v>
      </c>
      <c r="I173" s="476">
        <v>28611</v>
      </c>
    </row>
    <row r="174" spans="7:9">
      <c r="G174" s="472">
        <v>173</v>
      </c>
      <c r="H174" s="475" t="s">
        <v>603</v>
      </c>
      <c r="I174" s="476">
        <v>20420.400000000001</v>
      </c>
    </row>
    <row r="175" spans="7:9">
      <c r="G175" s="472">
        <v>174</v>
      </c>
      <c r="H175" s="475" t="s">
        <v>604</v>
      </c>
      <c r="I175" s="476">
        <v>20440.8</v>
      </c>
    </row>
    <row r="176" spans="7:9">
      <c r="G176" s="472">
        <v>175</v>
      </c>
      <c r="H176" s="475" t="s">
        <v>605</v>
      </c>
      <c r="I176" s="476">
        <v>18584.400000000001</v>
      </c>
    </row>
    <row r="177" spans="7:9">
      <c r="G177" s="472">
        <v>176</v>
      </c>
      <c r="H177" s="475" t="s">
        <v>606</v>
      </c>
      <c r="I177" s="476">
        <v>19410.599999999999</v>
      </c>
    </row>
    <row r="178" spans="7:9">
      <c r="G178" s="472">
        <v>177</v>
      </c>
      <c r="H178" s="475" t="s">
        <v>607</v>
      </c>
      <c r="I178" s="476">
        <v>16309.8</v>
      </c>
    </row>
    <row r="179" spans="7:9">
      <c r="G179" s="472">
        <v>178</v>
      </c>
      <c r="H179" s="475" t="s">
        <v>608</v>
      </c>
      <c r="I179" s="476">
        <v>15167.4</v>
      </c>
    </row>
    <row r="180" spans="7:9">
      <c r="G180" s="472">
        <v>179</v>
      </c>
      <c r="H180" s="475" t="s">
        <v>609</v>
      </c>
      <c r="I180" s="476">
        <v>15473.4</v>
      </c>
    </row>
    <row r="181" spans="7:9">
      <c r="G181" s="472">
        <v>180</v>
      </c>
      <c r="H181" s="475" t="s">
        <v>610</v>
      </c>
      <c r="I181" s="476">
        <v>16340.4</v>
      </c>
    </row>
    <row r="182" spans="7:9">
      <c r="G182" s="472">
        <v>181</v>
      </c>
      <c r="H182" s="475" t="s">
        <v>611</v>
      </c>
      <c r="I182" s="476">
        <v>26550.6</v>
      </c>
    </row>
    <row r="183" spans="7:9">
      <c r="G183" s="472">
        <v>182</v>
      </c>
      <c r="H183" s="475" t="s">
        <v>612</v>
      </c>
      <c r="I183" s="476">
        <v>25632.6</v>
      </c>
    </row>
    <row r="184" spans="7:9">
      <c r="G184" s="472">
        <v>183</v>
      </c>
      <c r="H184" s="475" t="s">
        <v>613</v>
      </c>
      <c r="I184" s="476">
        <v>16340.4</v>
      </c>
    </row>
    <row r="185" spans="7:9">
      <c r="G185" s="472">
        <v>184</v>
      </c>
      <c r="H185" s="475" t="s">
        <v>614</v>
      </c>
      <c r="I185" s="476">
        <v>16350.6</v>
      </c>
    </row>
    <row r="186" spans="7:9">
      <c r="G186" s="472">
        <v>185</v>
      </c>
      <c r="H186" s="475" t="s">
        <v>615</v>
      </c>
      <c r="I186" s="476">
        <v>16095.6</v>
      </c>
    </row>
    <row r="187" spans="7:9">
      <c r="G187" s="472">
        <v>186</v>
      </c>
      <c r="H187" s="475" t="s">
        <v>616</v>
      </c>
      <c r="I187" s="476">
        <v>16289.4</v>
      </c>
    </row>
    <row r="188" spans="7:9">
      <c r="G188" s="472">
        <v>187</v>
      </c>
      <c r="H188" s="475" t="s">
        <v>617</v>
      </c>
      <c r="I188" s="476">
        <v>15463.2</v>
      </c>
    </row>
    <row r="189" spans="7:9">
      <c r="G189" s="472">
        <v>188</v>
      </c>
      <c r="H189" s="475" t="s">
        <v>618</v>
      </c>
      <c r="I189" s="476">
        <v>19553.400000000001</v>
      </c>
    </row>
    <row r="190" spans="7:9">
      <c r="G190" s="472">
        <v>189</v>
      </c>
      <c r="H190" s="475" t="s">
        <v>619</v>
      </c>
      <c r="I190" s="476">
        <v>15075.6</v>
      </c>
    </row>
    <row r="191" spans="7:9">
      <c r="G191" s="472">
        <v>190</v>
      </c>
      <c r="H191" s="475" t="s">
        <v>620</v>
      </c>
      <c r="I191" s="476">
        <v>20420.400000000001</v>
      </c>
    </row>
    <row r="192" spans="7:9">
      <c r="G192" s="472">
        <v>191</v>
      </c>
      <c r="H192" s="475" t="s">
        <v>621</v>
      </c>
      <c r="I192" s="476">
        <v>20675.400000000001</v>
      </c>
    </row>
    <row r="193" spans="7:9">
      <c r="G193" s="472">
        <v>192</v>
      </c>
      <c r="H193" s="475" t="s">
        <v>622</v>
      </c>
      <c r="I193" s="476">
        <v>31599.599999999999</v>
      </c>
    </row>
    <row r="194" spans="7:9">
      <c r="G194" s="472">
        <v>193</v>
      </c>
      <c r="H194" s="475" t="s">
        <v>623</v>
      </c>
      <c r="I194" s="476">
        <v>14820.6</v>
      </c>
    </row>
    <row r="195" spans="7:9">
      <c r="G195" s="472">
        <v>194</v>
      </c>
      <c r="H195" s="475" t="s">
        <v>624</v>
      </c>
      <c r="I195" s="476">
        <v>13953.6</v>
      </c>
    </row>
    <row r="196" spans="7:9">
      <c r="G196" s="472">
        <v>195</v>
      </c>
      <c r="H196" s="475" t="s">
        <v>625</v>
      </c>
      <c r="I196" s="476">
        <v>14759.4</v>
      </c>
    </row>
    <row r="197" spans="7:9">
      <c r="H197" s="480"/>
      <c r="I197" s="481"/>
    </row>
    <row r="304" spans="1:1">
      <c r="A304" s="467"/>
    </row>
  </sheetData>
  <hyperlinks>
    <hyperlink ref="A1" location="Бюджет" display="Бюджет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</sheetPr>
  <dimension ref="A1:L8"/>
  <sheetViews>
    <sheetView workbookViewId="0"/>
  </sheetViews>
  <sheetFormatPr baseColWidth="10" defaultColWidth="8.83203125" defaultRowHeight="15"/>
  <cols>
    <col min="1" max="11" width="9.5" bestFit="1" customWidth="1"/>
    <col min="12" max="12" width="11.83203125" customWidth="1"/>
  </cols>
  <sheetData>
    <row r="1" spans="1:12" ht="16">
      <c r="A1" s="223" t="s">
        <v>206</v>
      </c>
      <c r="C1" s="680" t="s">
        <v>201</v>
      </c>
      <c r="D1" s="680"/>
      <c r="E1" s="680"/>
    </row>
    <row r="2" spans="1:12">
      <c r="A2" s="223"/>
    </row>
    <row r="3" spans="1:12" ht="15" customHeight="1">
      <c r="A3" s="679" t="s">
        <v>626</v>
      </c>
      <c r="B3" s="679"/>
      <c r="C3" s="679"/>
      <c r="D3" s="679"/>
      <c r="E3" s="679"/>
      <c r="F3" s="679"/>
      <c r="G3" s="679"/>
      <c r="H3" s="679"/>
      <c r="I3" s="679"/>
      <c r="J3" s="679"/>
      <c r="K3" s="679"/>
      <c r="L3" s="679"/>
    </row>
    <row r="4" spans="1:12">
      <c r="A4" s="679"/>
      <c r="B4" s="679"/>
      <c r="C4" s="679"/>
      <c r="D4" s="679"/>
      <c r="E4" s="679"/>
      <c r="F4" s="679"/>
      <c r="G4" s="679"/>
      <c r="H4" s="679"/>
      <c r="I4" s="679"/>
      <c r="J4" s="679"/>
      <c r="K4" s="679"/>
      <c r="L4" s="679"/>
    </row>
    <row r="5" spans="1:12">
      <c r="A5" s="223"/>
    </row>
    <row r="6" spans="1:12">
      <c r="A6" s="223"/>
    </row>
    <row r="7" spans="1:12" ht="16">
      <c r="A7" s="228" t="s">
        <v>63</v>
      </c>
      <c r="B7" s="228" t="s">
        <v>64</v>
      </c>
      <c r="C7" s="228" t="s">
        <v>65</v>
      </c>
      <c r="D7" s="228" t="s">
        <v>66</v>
      </c>
      <c r="E7" s="228" t="s">
        <v>60</v>
      </c>
      <c r="F7" s="228" t="s">
        <v>67</v>
      </c>
      <c r="G7" s="228" t="s">
        <v>68</v>
      </c>
      <c r="H7" s="228" t="s">
        <v>69</v>
      </c>
      <c r="I7" s="228" t="s">
        <v>70</v>
      </c>
      <c r="J7" s="228" t="s">
        <v>71</v>
      </c>
      <c r="K7" s="228" t="s">
        <v>72</v>
      </c>
      <c r="L7" s="228" t="s">
        <v>73</v>
      </c>
    </row>
    <row r="8" spans="1:12" ht="16">
      <c r="A8" s="392">
        <v>210000</v>
      </c>
      <c r="B8" s="392">
        <v>240000</v>
      </c>
      <c r="C8" s="392">
        <v>200000</v>
      </c>
      <c r="D8" s="392">
        <v>230000</v>
      </c>
      <c r="E8" s="392">
        <v>350000</v>
      </c>
      <c r="F8" s="392">
        <v>360000</v>
      </c>
      <c r="G8" s="392">
        <v>400000</v>
      </c>
      <c r="H8" s="392">
        <v>320000</v>
      </c>
      <c r="I8" s="392">
        <v>300000</v>
      </c>
      <c r="J8" s="392">
        <v>270000</v>
      </c>
      <c r="K8" s="392">
        <v>250000</v>
      </c>
      <c r="L8" s="392">
        <v>220000</v>
      </c>
    </row>
  </sheetData>
  <mergeCells count="2">
    <mergeCell ref="A3:L4"/>
    <mergeCell ref="C1:E1"/>
  </mergeCells>
  <hyperlinks>
    <hyperlink ref="A1" location="Бюджет" display="Бюджет" xr:uid="{00000000-0004-0000-0600-000000000000}"/>
    <hyperlink ref="C1:E1" location="Бюджет!R1C1" display="1-0021" xr:uid="{00000000-0004-0000-0600-000001000000}"/>
  </hyperlinks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  <pageSetUpPr fitToPage="1"/>
  </sheetPr>
  <dimension ref="A1:M33"/>
  <sheetViews>
    <sheetView showGridLines="0" zoomScaleNormal="100" zoomScaleSheetLayoutView="75" workbookViewId="0">
      <selection activeCell="A2" sqref="A2:M11"/>
    </sheetView>
  </sheetViews>
  <sheetFormatPr baseColWidth="10" defaultColWidth="9.1640625" defaultRowHeight="13"/>
  <cols>
    <col min="1" max="1" width="8.5" style="10" customWidth="1"/>
    <col min="2" max="5" width="9.1640625" style="10"/>
    <col min="6" max="6" width="12.5" style="10" customWidth="1"/>
    <col min="7" max="7" width="19.33203125" style="10" bestFit="1" customWidth="1"/>
    <col min="8" max="8" width="14.6640625" style="10" bestFit="1" customWidth="1"/>
    <col min="9" max="9" width="29.33203125" style="10" customWidth="1"/>
    <col min="10" max="10" width="16.6640625" style="10" customWidth="1"/>
    <col min="11" max="11" width="14.5" style="10" bestFit="1" customWidth="1"/>
    <col min="12" max="16384" width="9.1640625" style="10"/>
  </cols>
  <sheetData>
    <row r="1" spans="1:13" ht="15">
      <c r="A1" s="223" t="s">
        <v>206</v>
      </c>
    </row>
    <row r="2" spans="1:13" s="30" customFormat="1" ht="18">
      <c r="A2" s="271" t="s">
        <v>26</v>
      </c>
      <c r="B2" s="21" t="str">
        <f>VLOOKUP(A2,Бюджет,2,FALSE)</f>
        <v>Собираемость, %</v>
      </c>
      <c r="C2" s="21"/>
    </row>
    <row r="4" spans="1:13" ht="40.5" customHeight="1">
      <c r="B4" s="674" t="s">
        <v>51</v>
      </c>
      <c r="C4" s="675"/>
      <c r="D4" s="675"/>
      <c r="E4" s="675"/>
      <c r="F4" s="675"/>
      <c r="G4" s="675"/>
      <c r="H4" s="675"/>
      <c r="I4" s="675"/>
      <c r="J4" s="675"/>
      <c r="K4" s="675"/>
      <c r="L4" s="675"/>
      <c r="M4" s="675"/>
    </row>
    <row r="5" spans="1:13" ht="15" customHeight="1">
      <c r="B5" s="11"/>
      <c r="C5" s="12"/>
      <c r="D5" s="12"/>
      <c r="E5" s="12"/>
      <c r="F5" s="12"/>
      <c r="G5" s="12"/>
      <c r="H5" s="12"/>
      <c r="I5" s="12"/>
      <c r="J5" s="13"/>
      <c r="K5" s="14"/>
      <c r="L5" s="15"/>
      <c r="M5" s="15"/>
    </row>
    <row r="6" spans="1:13" ht="15" customHeight="1">
      <c r="B6" s="11"/>
      <c r="C6" s="12"/>
      <c r="D6" s="12"/>
      <c r="E6" s="12"/>
      <c r="F6" s="12"/>
      <c r="G6" s="12"/>
      <c r="H6" s="12"/>
      <c r="I6" s="12"/>
      <c r="J6" s="13"/>
      <c r="K6" s="16"/>
      <c r="L6" s="15"/>
      <c r="M6" s="15"/>
    </row>
    <row r="7" spans="1:13" ht="15" customHeight="1">
      <c r="B7" s="11" t="s">
        <v>32</v>
      </c>
      <c r="C7" s="12"/>
      <c r="D7" s="12"/>
      <c r="E7" s="12"/>
      <c r="F7" s="12"/>
      <c r="G7" s="31">
        <v>0.96</v>
      </c>
      <c r="H7" s="12"/>
      <c r="I7" s="12"/>
      <c r="J7" s="13"/>
      <c r="K7" s="16"/>
      <c r="L7" s="15"/>
      <c r="M7" s="15"/>
    </row>
    <row r="8" spans="1:13" ht="15" customHeight="1">
      <c r="B8" s="11"/>
      <c r="C8" s="12"/>
      <c r="D8" s="12"/>
      <c r="E8" s="12"/>
      <c r="F8" s="12"/>
      <c r="G8" s="31"/>
      <c r="H8" s="12"/>
      <c r="I8" s="12"/>
      <c r="J8" s="13"/>
      <c r="K8" s="17"/>
      <c r="L8" s="15"/>
      <c r="M8" s="15"/>
    </row>
    <row r="9" spans="1:13" ht="57.75" customHeight="1">
      <c r="B9" s="676" t="s">
        <v>33</v>
      </c>
      <c r="C9" s="677"/>
      <c r="D9" s="677"/>
      <c r="E9" s="677"/>
      <c r="F9" s="18"/>
      <c r="G9" s="32">
        <f>SUM(G7:G8)</f>
        <v>0.96</v>
      </c>
      <c r="H9" s="19"/>
      <c r="I9" s="18"/>
      <c r="J9" s="18"/>
      <c r="K9" s="18"/>
      <c r="L9" s="18"/>
      <c r="M9" s="18"/>
    </row>
    <row r="14" spans="1:13" ht="18">
      <c r="A14" s="21"/>
      <c r="B14" s="21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6" spans="1:13" ht="16">
      <c r="B16" s="674"/>
      <c r="C16" s="675"/>
      <c r="D16" s="675"/>
      <c r="E16" s="675"/>
      <c r="F16" s="675"/>
      <c r="G16" s="675"/>
      <c r="H16" s="675"/>
      <c r="I16" s="675"/>
      <c r="J16" s="675"/>
      <c r="K16" s="675"/>
      <c r="L16" s="675"/>
      <c r="M16" s="675"/>
    </row>
    <row r="17" spans="2:13" ht="16">
      <c r="B17" s="11"/>
      <c r="C17" s="12"/>
      <c r="D17" s="12"/>
      <c r="E17" s="12"/>
      <c r="F17" s="12"/>
      <c r="G17" s="12"/>
      <c r="H17" s="12"/>
      <c r="I17" s="12"/>
      <c r="J17" s="13"/>
      <c r="K17" s="14"/>
      <c r="L17" s="15"/>
      <c r="M17" s="15"/>
    </row>
    <row r="18" spans="2:13" ht="16">
      <c r="B18" s="11"/>
      <c r="C18" s="12"/>
      <c r="D18" s="12"/>
      <c r="E18" s="12"/>
      <c r="F18" s="12"/>
      <c r="G18" s="12"/>
      <c r="H18" s="12"/>
      <c r="I18" s="12"/>
      <c r="J18" s="13"/>
      <c r="K18" s="16"/>
      <c r="L18" s="15"/>
      <c r="M18" s="15"/>
    </row>
    <row r="19" spans="2:13" ht="16">
      <c r="B19" s="11"/>
      <c r="C19" s="12"/>
      <c r="D19" s="12"/>
      <c r="E19" s="12"/>
      <c r="F19" s="12"/>
      <c r="G19" s="31"/>
      <c r="H19" s="12"/>
      <c r="I19" s="12"/>
      <c r="J19" s="13"/>
      <c r="K19" s="16"/>
      <c r="L19" s="15"/>
      <c r="M19" s="15"/>
    </row>
    <row r="20" spans="2:13" ht="16">
      <c r="B20" s="11"/>
      <c r="C20" s="12"/>
      <c r="D20" s="12"/>
      <c r="E20" s="12"/>
      <c r="F20" s="12"/>
      <c r="G20" s="31"/>
      <c r="H20" s="12"/>
      <c r="I20" s="12"/>
      <c r="J20" s="13"/>
      <c r="K20" s="17"/>
      <c r="L20" s="15"/>
      <c r="M20" s="15"/>
    </row>
    <row r="21" spans="2:13" ht="18.75" customHeight="1">
      <c r="B21" s="22"/>
      <c r="I21" s="24"/>
      <c r="M21" s="18"/>
    </row>
    <row r="33" ht="101.25" customHeight="1"/>
  </sheetData>
  <mergeCells count="3">
    <mergeCell ref="B4:M4"/>
    <mergeCell ref="B9:E9"/>
    <mergeCell ref="B16:M16"/>
  </mergeCells>
  <hyperlinks>
    <hyperlink ref="A1" location="Бюджет" display="Бюджет" xr:uid="{00000000-0004-0000-0700-000000000000}"/>
    <hyperlink ref="A2" location="Бюджет!R1C1" display="1-003" xr:uid="{00000000-0004-0000-0700-000001000000}"/>
  </hyperlinks>
  <pageMargins left="0.75" right="0.75" top="1" bottom="1" header="0.5" footer="0.5"/>
  <pageSetup paperSize="9" scale="7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  <pageSetUpPr fitToPage="1"/>
  </sheetPr>
  <dimension ref="A1:R23"/>
  <sheetViews>
    <sheetView showGridLines="0" zoomScaleNormal="100" zoomScaleSheetLayoutView="75" workbookViewId="0"/>
  </sheetViews>
  <sheetFormatPr baseColWidth="10" defaultColWidth="9.1640625" defaultRowHeight="13"/>
  <cols>
    <col min="1" max="1" width="14.1640625" style="10" bestFit="1" customWidth="1"/>
    <col min="2" max="5" width="9.1640625" style="10"/>
    <col min="6" max="6" width="17.1640625" style="10" customWidth="1"/>
    <col min="7" max="7" width="16.6640625" style="10" customWidth="1"/>
    <col min="8" max="8" width="13.33203125" style="10" customWidth="1"/>
    <col min="9" max="9" width="13" style="10" bestFit="1" customWidth="1"/>
    <col min="10" max="10" width="12.5" style="10" customWidth="1"/>
    <col min="11" max="11" width="14.1640625" style="10" customWidth="1"/>
    <col min="12" max="12" width="13.1640625" style="10" customWidth="1"/>
    <col min="13" max="13" width="13" style="10" customWidth="1"/>
    <col min="14" max="14" width="15.83203125" style="10" bestFit="1" customWidth="1"/>
    <col min="15" max="15" width="13.83203125" style="10" customWidth="1"/>
    <col min="16" max="18" width="13" style="10" bestFit="1" customWidth="1"/>
    <col min="19" max="16384" width="9.1640625" style="10"/>
  </cols>
  <sheetData>
    <row r="1" spans="1:18" ht="15">
      <c r="A1" s="223" t="s">
        <v>206</v>
      </c>
    </row>
    <row r="2" spans="1:18" s="30" customFormat="1" ht="18">
      <c r="A2" s="271" t="s">
        <v>28</v>
      </c>
      <c r="B2" s="21" t="str">
        <f>VLOOKUP(A2,Бюджет!A3:B70,2)</f>
        <v>Проценты по займам и вкладам (депозитам)</v>
      </c>
    </row>
    <row r="5" spans="1:18" s="33" customFormat="1" ht="15" customHeight="1">
      <c r="B5" s="681" t="s">
        <v>62</v>
      </c>
      <c r="C5" s="681"/>
      <c r="D5" s="681"/>
      <c r="E5" s="681"/>
      <c r="F5" s="681"/>
      <c r="G5" s="681"/>
      <c r="H5" s="681"/>
      <c r="I5" s="681"/>
      <c r="J5" s="681"/>
      <c r="K5" s="681"/>
      <c r="L5" s="681"/>
      <c r="M5" s="681"/>
      <c r="N5" s="681"/>
    </row>
    <row r="6" spans="1:18" s="33" customFormat="1" ht="20">
      <c r="B6" s="681"/>
      <c r="C6" s="681"/>
      <c r="D6" s="681"/>
      <c r="E6" s="681"/>
      <c r="F6" s="681"/>
      <c r="G6" s="681"/>
      <c r="H6" s="681"/>
      <c r="I6" s="681"/>
      <c r="J6" s="681"/>
      <c r="K6" s="681"/>
      <c r="L6" s="681"/>
      <c r="M6" s="681"/>
      <c r="N6" s="681"/>
    </row>
    <row r="7" spans="1:18" s="33" customFormat="1" ht="20"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</row>
    <row r="8" spans="1:18" ht="22.5" customHeight="1">
      <c r="B8" s="682"/>
      <c r="C8" s="682"/>
      <c r="D8" s="682"/>
      <c r="E8" s="682"/>
      <c r="F8" s="682"/>
      <c r="G8" s="682"/>
      <c r="H8" s="682"/>
      <c r="I8" s="682"/>
      <c r="J8" s="682"/>
      <c r="K8" s="682"/>
      <c r="L8" s="682"/>
      <c r="M8" s="682"/>
      <c r="N8" s="682"/>
    </row>
    <row r="9" spans="1:18" ht="20.25" customHeight="1">
      <c r="B9" s="682"/>
      <c r="C9" s="682"/>
      <c r="D9" s="682"/>
      <c r="E9" s="682"/>
      <c r="F9" s="682"/>
      <c r="G9" s="682"/>
      <c r="H9" s="682"/>
      <c r="I9" s="682"/>
      <c r="J9" s="682"/>
      <c r="K9" s="682"/>
      <c r="L9" s="682"/>
      <c r="M9" s="682"/>
      <c r="N9" s="682"/>
    </row>
    <row r="10" spans="1:18" ht="20.25" customHeight="1">
      <c r="B10" s="37"/>
      <c r="C10" s="37"/>
      <c r="D10" s="37"/>
      <c r="E10" s="37"/>
      <c r="F10" s="37"/>
      <c r="G10" s="379" t="s">
        <v>274</v>
      </c>
      <c r="H10" s="379" t="s">
        <v>275</v>
      </c>
      <c r="I10" s="38" t="s">
        <v>35</v>
      </c>
      <c r="J10" s="38" t="s">
        <v>36</v>
      </c>
      <c r="K10" s="38" t="s">
        <v>60</v>
      </c>
      <c r="L10" s="38" t="s">
        <v>61</v>
      </c>
      <c r="M10" s="38" t="s">
        <v>226</v>
      </c>
      <c r="N10" s="38" t="s">
        <v>227</v>
      </c>
      <c r="O10" s="38" t="s">
        <v>228</v>
      </c>
      <c r="P10" s="38" t="s">
        <v>229</v>
      </c>
      <c r="Q10" s="38" t="s">
        <v>230</v>
      </c>
      <c r="R10" s="38" t="s">
        <v>231</v>
      </c>
    </row>
    <row r="11" spans="1:18" ht="20.25" customHeight="1">
      <c r="B11" s="683" t="s">
        <v>20</v>
      </c>
      <c r="C11" s="683"/>
      <c r="D11" s="683"/>
      <c r="E11" s="683"/>
      <c r="F11" s="683"/>
      <c r="G11" s="380">
        <v>12000000</v>
      </c>
      <c r="H11" s="380">
        <f>G11-1000000</f>
        <v>11000000</v>
      </c>
      <c r="I11" s="380">
        <f t="shared" ref="I11:R11" si="0">H11-1000000</f>
        <v>10000000</v>
      </c>
      <c r="J11" s="380">
        <f t="shared" si="0"/>
        <v>9000000</v>
      </c>
      <c r="K11" s="380">
        <f t="shared" si="0"/>
        <v>8000000</v>
      </c>
      <c r="L11" s="380">
        <f t="shared" si="0"/>
        <v>7000000</v>
      </c>
      <c r="M11" s="380">
        <f t="shared" si="0"/>
        <v>6000000</v>
      </c>
      <c r="N11" s="380">
        <f t="shared" si="0"/>
        <v>5000000</v>
      </c>
      <c r="O11" s="380">
        <f t="shared" si="0"/>
        <v>4000000</v>
      </c>
      <c r="P11" s="380">
        <f t="shared" si="0"/>
        <v>3000000</v>
      </c>
      <c r="Q11" s="380">
        <f t="shared" si="0"/>
        <v>2000000</v>
      </c>
      <c r="R11" s="380">
        <f t="shared" si="0"/>
        <v>1000000</v>
      </c>
    </row>
    <row r="12" spans="1:18" ht="17.25" customHeight="1">
      <c r="B12" s="684" t="s">
        <v>276</v>
      </c>
      <c r="C12" s="684"/>
      <c r="D12" s="684"/>
      <c r="E12" s="684"/>
      <c r="F12" s="684"/>
      <c r="G12" s="381">
        <v>0.16</v>
      </c>
      <c r="H12" s="381">
        <v>0.16</v>
      </c>
      <c r="I12" s="381">
        <v>0.16</v>
      </c>
      <c r="J12" s="381">
        <v>0.16</v>
      </c>
      <c r="K12" s="381">
        <v>0.16</v>
      </c>
      <c r="L12" s="381">
        <v>0.16</v>
      </c>
      <c r="M12" s="381">
        <v>0.16</v>
      </c>
      <c r="N12" s="381">
        <v>0.16</v>
      </c>
      <c r="O12" s="381">
        <v>0.16</v>
      </c>
      <c r="P12" s="381">
        <v>0.16</v>
      </c>
      <c r="Q12" s="381">
        <v>0.16</v>
      </c>
      <c r="R12" s="381">
        <v>0.16</v>
      </c>
    </row>
    <row r="13" spans="1:18" ht="27.75" customHeight="1">
      <c r="B13" s="683" t="s">
        <v>17</v>
      </c>
      <c r="C13" s="683"/>
      <c r="D13" s="683"/>
      <c r="E13" s="683"/>
      <c r="F13" s="683"/>
      <c r="G13" s="393">
        <f>G11*G12/12</f>
        <v>160000</v>
      </c>
      <c r="H13" s="393">
        <f t="shared" ref="H13:K13" si="1">H11*H12/12</f>
        <v>146666.66666666666</v>
      </c>
      <c r="I13" s="393">
        <f t="shared" si="1"/>
        <v>133333.33333333334</v>
      </c>
      <c r="J13" s="393">
        <f t="shared" si="1"/>
        <v>120000</v>
      </c>
      <c r="K13" s="393">
        <f t="shared" si="1"/>
        <v>106666.66666666667</v>
      </c>
      <c r="L13" s="393">
        <f t="shared" ref="L13" si="2">L11*L12/12</f>
        <v>93333.333333333328</v>
      </c>
      <c r="M13" s="393">
        <f t="shared" ref="M13" si="3">M11*M12/12</f>
        <v>80000</v>
      </c>
      <c r="N13" s="393">
        <f t="shared" ref="N13:O13" si="4">N11*N12/12</f>
        <v>66666.666666666672</v>
      </c>
      <c r="O13" s="393">
        <f t="shared" si="4"/>
        <v>53333.333333333336</v>
      </c>
      <c r="P13" s="393">
        <f t="shared" ref="P13" si="5">P11*P12/12</f>
        <v>40000</v>
      </c>
      <c r="Q13" s="393">
        <f t="shared" ref="Q13" si="6">Q11*Q12/12</f>
        <v>26666.666666666668</v>
      </c>
      <c r="R13" s="393">
        <f t="shared" ref="R13" si="7">R11*R12/12</f>
        <v>13333.333333333334</v>
      </c>
    </row>
    <row r="14" spans="1:18" ht="20.25" customHeight="1">
      <c r="B14" s="37"/>
      <c r="C14" s="37"/>
      <c r="D14" s="37"/>
      <c r="E14" s="37"/>
      <c r="F14" s="37"/>
      <c r="G14" s="37"/>
      <c r="H14" s="37"/>
      <c r="I14" s="38"/>
      <c r="J14" s="38"/>
      <c r="K14" s="38"/>
      <c r="L14" s="38"/>
      <c r="M14" s="38"/>
      <c r="N14" s="39"/>
    </row>
    <row r="15" spans="1:18" ht="20.25" customHeight="1">
      <c r="B15" s="37"/>
      <c r="C15" s="37"/>
      <c r="D15" s="37"/>
      <c r="E15" s="37"/>
      <c r="F15" s="37"/>
      <c r="G15" s="37"/>
      <c r="H15" s="37"/>
      <c r="I15" s="38"/>
      <c r="J15" s="38"/>
      <c r="K15" s="38"/>
      <c r="L15" s="38"/>
      <c r="M15" s="38"/>
      <c r="N15" s="39"/>
    </row>
    <row r="16" spans="1:18" ht="20.25" customHeight="1">
      <c r="B16" s="37"/>
      <c r="C16" s="37"/>
      <c r="D16" s="37"/>
      <c r="E16" s="37"/>
      <c r="F16" s="37"/>
      <c r="G16" s="37"/>
      <c r="H16" s="37"/>
      <c r="I16" s="38"/>
      <c r="J16" s="38"/>
      <c r="K16" s="38"/>
      <c r="L16" s="38"/>
      <c r="M16" s="38"/>
      <c r="N16" s="39"/>
    </row>
    <row r="17" spans="2:14">
      <c r="I17" s="38"/>
      <c r="J17" s="38"/>
      <c r="K17" s="38"/>
      <c r="L17" s="38"/>
      <c r="M17" s="38"/>
    </row>
    <row r="18" spans="2:14" ht="16">
      <c r="B18" s="22" t="s">
        <v>34</v>
      </c>
      <c r="L18" s="35"/>
      <c r="N18" s="283">
        <f>SUM(G13:R13)</f>
        <v>1040000</v>
      </c>
    </row>
    <row r="23" spans="2:14" ht="101.25" customHeight="1"/>
  </sheetData>
  <mergeCells count="5">
    <mergeCell ref="B5:N6"/>
    <mergeCell ref="B8:N9"/>
    <mergeCell ref="B11:F11"/>
    <mergeCell ref="B12:F12"/>
    <mergeCell ref="B13:F13"/>
  </mergeCells>
  <hyperlinks>
    <hyperlink ref="A1" location="Бюджет" display="Бюджет" xr:uid="{00000000-0004-0000-0800-000000000000}"/>
    <hyperlink ref="A2" location="Бюджет" display="1-005" xr:uid="{00000000-0004-0000-0800-000001000000}"/>
  </hyperlinks>
  <pageMargins left="0.75" right="0.75" top="1" bottom="1" header="0.5" footer="0.5"/>
  <pageSetup paperSize="9" scale="79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  <pageSetUpPr fitToPage="1"/>
  </sheetPr>
  <dimension ref="A1:M33"/>
  <sheetViews>
    <sheetView showGridLines="0" zoomScaleNormal="100" zoomScaleSheetLayoutView="75" workbookViewId="0">
      <selection activeCell="B8" sqref="B8"/>
    </sheetView>
  </sheetViews>
  <sheetFormatPr baseColWidth="10" defaultColWidth="9.1640625" defaultRowHeight="13"/>
  <cols>
    <col min="1" max="1" width="64.83203125" style="10" customWidth="1"/>
    <col min="2" max="3" width="11.1640625" style="10" customWidth="1"/>
    <col min="4" max="6" width="10.5" style="10" customWidth="1"/>
    <col min="7" max="7" width="12.5" style="10" customWidth="1"/>
    <col min="8" max="9" width="10.5" style="10" customWidth="1"/>
    <col min="10" max="10" width="11.83203125" style="10" customWidth="1"/>
    <col min="11" max="13" width="10.5" style="10" customWidth="1"/>
    <col min="14" max="16384" width="9.1640625" style="10"/>
  </cols>
  <sheetData>
    <row r="1" spans="1:13" ht="15">
      <c r="A1" s="223" t="s">
        <v>206</v>
      </c>
    </row>
    <row r="2" spans="1:13" s="30" customFormat="1" ht="18">
      <c r="A2" s="271" t="s">
        <v>27</v>
      </c>
      <c r="B2" s="21" t="str">
        <f>VLOOKUP(A2,Бюджет,2,FALSE)</f>
        <v>Фактическое поступление ежемесячных членских взносов и коммунальных платежей за ХВС</v>
      </c>
      <c r="C2" s="21"/>
    </row>
    <row r="4" spans="1:13" ht="40.5" customHeight="1">
      <c r="B4" s="674" t="s">
        <v>705</v>
      </c>
      <c r="C4" s="675"/>
      <c r="D4" s="675"/>
      <c r="E4" s="675"/>
      <c r="F4" s="675"/>
      <c r="G4" s="675"/>
      <c r="H4" s="675"/>
      <c r="I4" s="675"/>
      <c r="J4" s="675"/>
      <c r="K4" s="675"/>
      <c r="L4" s="675"/>
      <c r="M4" s="675"/>
    </row>
    <row r="5" spans="1:13" ht="15" customHeight="1">
      <c r="B5" s="11"/>
      <c r="C5" s="12"/>
      <c r="D5" s="12"/>
      <c r="E5" s="12"/>
      <c r="F5" s="12"/>
      <c r="G5" s="12"/>
      <c r="H5" s="12"/>
      <c r="I5" s="12"/>
      <c r="J5" s="13"/>
      <c r="K5" s="14"/>
      <c r="L5" s="15"/>
      <c r="M5" s="15"/>
    </row>
    <row r="6" spans="1:13" ht="15" customHeight="1">
      <c r="A6" s="530"/>
      <c r="B6" s="531" t="s">
        <v>63</v>
      </c>
      <c r="C6" s="531" t="s">
        <v>64</v>
      </c>
      <c r="D6" s="531" t="s">
        <v>65</v>
      </c>
      <c r="E6" s="531" t="s">
        <v>66</v>
      </c>
      <c r="F6" s="531" t="s">
        <v>60</v>
      </c>
      <c r="G6" s="531" t="s">
        <v>67</v>
      </c>
      <c r="H6" s="531" t="s">
        <v>68</v>
      </c>
      <c r="I6" s="531" t="s">
        <v>69</v>
      </c>
      <c r="J6" s="531" t="s">
        <v>70</v>
      </c>
      <c r="K6" s="531" t="s">
        <v>71</v>
      </c>
      <c r="L6" s="531" t="s">
        <v>72</v>
      </c>
      <c r="M6" s="531" t="s">
        <v>73</v>
      </c>
    </row>
    <row r="7" spans="1:13" ht="15" customHeight="1">
      <c r="A7" s="530" t="s">
        <v>43</v>
      </c>
      <c r="B7" s="532">
        <f>'1-002'!L7</f>
        <v>5550000</v>
      </c>
      <c r="C7" s="532">
        <f>'1-002'!L7</f>
        <v>5550000</v>
      </c>
      <c r="D7" s="528">
        <f>'1-002'!L7</f>
        <v>5550000</v>
      </c>
      <c r="E7" s="528">
        <f>'1-002'!L7</f>
        <v>5550000</v>
      </c>
      <c r="F7" s="528">
        <f>'1-002'!L7</f>
        <v>5550000</v>
      </c>
      <c r="G7" s="528">
        <f>'1-002'!L7</f>
        <v>5550000</v>
      </c>
      <c r="H7" s="528">
        <f>'1-002'!L7</f>
        <v>5550000</v>
      </c>
      <c r="I7" s="528">
        <f>'1-002'!L7</f>
        <v>5550000</v>
      </c>
      <c r="J7" s="528">
        <f>'1-002'!L7</f>
        <v>5550000</v>
      </c>
      <c r="K7" s="528">
        <f>'1-002'!L7</f>
        <v>5550000</v>
      </c>
      <c r="L7" s="528">
        <f>'1-002'!L7</f>
        <v>5550000</v>
      </c>
      <c r="M7" s="528">
        <f>'1-002'!L7</f>
        <v>5550000</v>
      </c>
    </row>
    <row r="8" spans="1:13" ht="15" customHeight="1">
      <c r="A8" s="529" t="s">
        <v>643</v>
      </c>
      <c r="B8" s="532">
        <f>'1-0021'!A8</f>
        <v>210000</v>
      </c>
      <c r="C8" s="532">
        <f>'1-0021'!B8</f>
        <v>240000</v>
      </c>
      <c r="D8" s="532">
        <f>'1-0021'!C8</f>
        <v>200000</v>
      </c>
      <c r="E8" s="532">
        <f>'1-0021'!D8</f>
        <v>230000</v>
      </c>
      <c r="F8" s="532">
        <f>'1-0021'!E8</f>
        <v>350000</v>
      </c>
      <c r="G8" s="532">
        <f>'1-0021'!F8</f>
        <v>360000</v>
      </c>
      <c r="H8" s="532">
        <f>'1-0021'!G8</f>
        <v>400000</v>
      </c>
      <c r="I8" s="532">
        <f>'1-0021'!H8</f>
        <v>320000</v>
      </c>
      <c r="J8" s="532">
        <f>'1-0021'!I8</f>
        <v>300000</v>
      </c>
      <c r="K8" s="532">
        <f>'1-0021'!J8</f>
        <v>270000</v>
      </c>
      <c r="L8" s="532">
        <f>'1-0021'!K8</f>
        <v>250000</v>
      </c>
      <c r="M8" s="532">
        <f>'1-0021'!L8</f>
        <v>220000</v>
      </c>
    </row>
    <row r="9" spans="1:13" ht="21.75" customHeight="1">
      <c r="A9" s="529" t="s">
        <v>16</v>
      </c>
      <c r="B9" s="533">
        <f>'1-003'!G9</f>
        <v>0.96</v>
      </c>
      <c r="C9" s="533">
        <f>'1-003'!G9</f>
        <v>0.96</v>
      </c>
      <c r="D9" s="533">
        <f>'1-003'!G9</f>
        <v>0.96</v>
      </c>
      <c r="E9" s="533">
        <f>'1-003'!G9</f>
        <v>0.96</v>
      </c>
      <c r="F9" s="533">
        <f>'1-003'!G9</f>
        <v>0.96</v>
      </c>
      <c r="G9" s="533">
        <f>'1-003'!G9</f>
        <v>0.96</v>
      </c>
      <c r="H9" s="533">
        <f>'1-003'!G9</f>
        <v>0.96</v>
      </c>
      <c r="I9" s="534">
        <f>'1-003'!G9</f>
        <v>0.96</v>
      </c>
      <c r="J9" s="533">
        <f>'1-003'!G9</f>
        <v>0.96</v>
      </c>
      <c r="K9" s="533">
        <f>'1-003'!G9</f>
        <v>0.96</v>
      </c>
      <c r="L9" s="533">
        <f>'1-003'!G9</f>
        <v>0.96</v>
      </c>
      <c r="M9" s="535">
        <f>'1-003'!G9</f>
        <v>0.96</v>
      </c>
    </row>
    <row r="10" spans="1:13" ht="34">
      <c r="A10" s="536" t="s">
        <v>642</v>
      </c>
      <c r="B10" s="537">
        <f>(B7+B8)*B9</f>
        <v>5529600</v>
      </c>
      <c r="C10" s="537">
        <f t="shared" ref="C10:M10" si="0">(C7+C8)*C9</f>
        <v>5558400</v>
      </c>
      <c r="D10" s="537">
        <f t="shared" si="0"/>
        <v>5520000</v>
      </c>
      <c r="E10" s="537">
        <f t="shared" si="0"/>
        <v>5548800</v>
      </c>
      <c r="F10" s="537">
        <f t="shared" si="0"/>
        <v>5664000</v>
      </c>
      <c r="G10" s="537">
        <f t="shared" si="0"/>
        <v>5673600</v>
      </c>
      <c r="H10" s="537">
        <f t="shared" si="0"/>
        <v>5712000</v>
      </c>
      <c r="I10" s="537">
        <f t="shared" si="0"/>
        <v>5635200</v>
      </c>
      <c r="J10" s="537">
        <f t="shared" si="0"/>
        <v>5616000</v>
      </c>
      <c r="K10" s="537">
        <f t="shared" si="0"/>
        <v>5587200</v>
      </c>
      <c r="L10" s="537">
        <f t="shared" si="0"/>
        <v>5568000</v>
      </c>
      <c r="M10" s="537">
        <f t="shared" si="0"/>
        <v>5539200</v>
      </c>
    </row>
    <row r="14" spans="1:13" ht="18">
      <c r="A14" s="21"/>
      <c r="B14" s="21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6" spans="1:13" ht="16">
      <c r="B16" s="674"/>
      <c r="C16" s="675"/>
      <c r="D16" s="675"/>
      <c r="E16" s="675"/>
      <c r="F16" s="675"/>
      <c r="G16" s="675"/>
      <c r="H16" s="675"/>
      <c r="I16" s="675"/>
      <c r="J16" s="675"/>
      <c r="K16" s="675"/>
      <c r="L16" s="675"/>
      <c r="M16" s="675"/>
    </row>
    <row r="17" spans="2:13" ht="16">
      <c r="B17" s="11"/>
      <c r="C17" s="12"/>
      <c r="D17" s="12"/>
      <c r="E17" s="12"/>
      <c r="F17" s="12"/>
      <c r="G17" s="12"/>
      <c r="H17" s="12"/>
      <c r="I17" s="12"/>
      <c r="J17" s="13"/>
      <c r="K17" s="14"/>
      <c r="L17" s="15"/>
      <c r="M17" s="15"/>
    </row>
    <row r="18" spans="2:13" ht="16">
      <c r="B18" s="11"/>
      <c r="C18" s="12"/>
      <c r="D18" s="12"/>
      <c r="E18" s="12"/>
      <c r="F18" s="12"/>
      <c r="G18" s="12"/>
      <c r="H18" s="12"/>
      <c r="I18" s="12"/>
      <c r="J18" s="13"/>
      <c r="K18" s="16"/>
      <c r="L18" s="15"/>
      <c r="M18" s="15"/>
    </row>
    <row r="19" spans="2:13" ht="16">
      <c r="B19" s="11"/>
      <c r="C19" s="12"/>
      <c r="D19" s="12"/>
      <c r="E19" s="12"/>
      <c r="F19" s="12"/>
      <c r="G19" s="31"/>
      <c r="H19" s="12"/>
      <c r="I19" s="12"/>
      <c r="J19" s="13"/>
      <c r="K19" s="16"/>
      <c r="L19" s="15"/>
      <c r="M19" s="15"/>
    </row>
    <row r="20" spans="2:13" ht="16">
      <c r="B20" s="11"/>
      <c r="C20" s="12"/>
      <c r="D20" s="12"/>
      <c r="E20" s="12"/>
      <c r="F20" s="12"/>
      <c r="G20" s="31"/>
      <c r="H20" s="12"/>
      <c r="I20" s="12"/>
      <c r="J20" s="13"/>
      <c r="K20" s="17"/>
      <c r="L20" s="15"/>
      <c r="M20" s="15"/>
    </row>
    <row r="21" spans="2:13" ht="18.75" customHeight="1">
      <c r="B21" s="22"/>
      <c r="I21" s="24"/>
      <c r="M21" s="18"/>
    </row>
    <row r="33" ht="101.25" customHeight="1"/>
  </sheetData>
  <mergeCells count="2">
    <mergeCell ref="B4:M4"/>
    <mergeCell ref="B16:M16"/>
  </mergeCells>
  <hyperlinks>
    <hyperlink ref="A1" location="Бюджет" display="Бюджет" xr:uid="{00000000-0004-0000-0900-000000000000}"/>
    <hyperlink ref="A2" location="Бюджет!R1C1" display="1-004" xr:uid="{00000000-0004-0000-0900-000001000000}"/>
  </hyperlinks>
  <pageMargins left="0.75" right="0.75" top="1" bottom="1" header="0.5" footer="0.5"/>
  <pageSetup paperSize="9" scale="6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  <pageSetUpPr fitToPage="1"/>
  </sheetPr>
  <dimension ref="A1:C33"/>
  <sheetViews>
    <sheetView showGridLines="0" topLeftCell="A4" zoomScaleNormal="100" zoomScaleSheetLayoutView="75" workbookViewId="0">
      <selection activeCell="B25" sqref="B25:B32"/>
    </sheetView>
  </sheetViews>
  <sheetFormatPr baseColWidth="10" defaultColWidth="9.1640625" defaultRowHeight="13"/>
  <cols>
    <col min="1" max="1" width="51.5" style="42" customWidth="1"/>
    <col min="2" max="2" width="30.6640625" style="42" customWidth="1"/>
    <col min="3" max="3" width="25" style="42" customWidth="1"/>
    <col min="4" max="4" width="19" style="42" bestFit="1" customWidth="1"/>
    <col min="5" max="5" width="15.6640625" style="42" bestFit="1" customWidth="1"/>
    <col min="6" max="6" width="13.83203125" style="42" bestFit="1" customWidth="1"/>
    <col min="7" max="16384" width="9.1640625" style="42"/>
  </cols>
  <sheetData>
    <row r="1" spans="1:3" ht="15">
      <c r="A1" s="223" t="s">
        <v>206</v>
      </c>
    </row>
    <row r="2" spans="1:3" s="54" customFormat="1" ht="18">
      <c r="A2" s="272" t="s">
        <v>29</v>
      </c>
    </row>
    <row r="3" spans="1:3" s="54" customFormat="1" ht="18.75" customHeight="1">
      <c r="A3" s="686" t="s">
        <v>208</v>
      </c>
      <c r="B3" s="686"/>
      <c r="C3" s="230"/>
    </row>
    <row r="4" spans="1:3" s="54" customFormat="1" ht="31.5" customHeight="1">
      <c r="A4" s="687" t="s">
        <v>644</v>
      </c>
      <c r="B4" s="687"/>
      <c r="C4" s="687"/>
    </row>
    <row r="5" spans="1:3" s="54" customFormat="1" ht="30" customHeight="1">
      <c r="A5" s="687" t="s">
        <v>631</v>
      </c>
      <c r="B5" s="687"/>
      <c r="C5" s="687"/>
    </row>
    <row r="6" spans="1:3" s="54" customFormat="1" ht="20.25" customHeight="1">
      <c r="A6" s="229" t="s">
        <v>641</v>
      </c>
      <c r="B6" s="229"/>
      <c r="C6" s="229"/>
    </row>
    <row r="7" spans="1:3" s="54" customFormat="1" ht="30" customHeight="1">
      <c r="A7" s="687" t="s">
        <v>704</v>
      </c>
      <c r="B7" s="687"/>
      <c r="C7" s="687"/>
    </row>
    <row r="8" spans="1:3" s="54" customFormat="1" ht="30" customHeight="1">
      <c r="A8" s="687" t="s">
        <v>697</v>
      </c>
      <c r="B8" s="687"/>
      <c r="C8" s="687"/>
    </row>
    <row r="9" spans="1:3" ht="16">
      <c r="A9" s="466"/>
      <c r="B9" s="685"/>
      <c r="C9" s="685"/>
    </row>
    <row r="10" spans="1:3" ht="17">
      <c r="A10" s="60" t="str">
        <f>Бюджет!B14</f>
        <v>Поступления от коммерческой деятельности</v>
      </c>
      <c r="B10" s="61" t="s">
        <v>56</v>
      </c>
      <c r="C10" s="66" t="s">
        <v>57</v>
      </c>
    </row>
    <row r="11" spans="1:3" ht="15" customHeight="1">
      <c r="A11" s="63" t="s">
        <v>49</v>
      </c>
      <c r="B11" s="64">
        <v>136000</v>
      </c>
      <c r="C11" s="62"/>
    </row>
    <row r="12" spans="1:3" ht="17">
      <c r="A12" s="63" t="s">
        <v>691</v>
      </c>
      <c r="B12" s="64">
        <f>C33</f>
        <v>0</v>
      </c>
      <c r="C12" s="62"/>
    </row>
    <row r="13" spans="1:3" ht="17">
      <c r="A13" s="63" t="s">
        <v>50</v>
      </c>
      <c r="B13" s="64">
        <v>30000</v>
      </c>
      <c r="C13" s="62"/>
    </row>
    <row r="14" spans="1:3" ht="15" customHeight="1">
      <c r="A14" s="63" t="s">
        <v>254</v>
      </c>
      <c r="B14" s="64"/>
      <c r="C14" s="65">
        <v>200000</v>
      </c>
    </row>
    <row r="15" spans="1:3" ht="15" customHeight="1">
      <c r="A15" s="63" t="s">
        <v>58</v>
      </c>
      <c r="B15" s="64">
        <f>B33</f>
        <v>1174400</v>
      </c>
      <c r="C15" s="62"/>
    </row>
    <row r="16" spans="1:3" ht="33.75" customHeight="1">
      <c r="A16" s="63" t="s">
        <v>692</v>
      </c>
      <c r="B16" s="64">
        <f>48100+15000</f>
        <v>63100</v>
      </c>
      <c r="C16" s="62"/>
    </row>
    <row r="17" spans="1:3" ht="16">
      <c r="A17" s="231" t="s">
        <v>22</v>
      </c>
      <c r="B17" s="394">
        <f>SUM(B11:B16)</f>
        <v>1403500</v>
      </c>
      <c r="C17" s="394">
        <f>SUM(C11:C15)</f>
        <v>200000</v>
      </c>
    </row>
    <row r="21" spans="1:3" ht="16">
      <c r="A21" s="318" t="s">
        <v>701</v>
      </c>
    </row>
    <row r="22" spans="1:3" ht="16">
      <c r="A22" s="318"/>
    </row>
    <row r="24" spans="1:3" ht="16">
      <c r="A24" s="319" t="s">
        <v>252</v>
      </c>
      <c r="B24" s="319" t="s">
        <v>253</v>
      </c>
      <c r="C24" s="320"/>
    </row>
    <row r="25" spans="1:3" ht="17">
      <c r="A25" s="320" t="s">
        <v>627</v>
      </c>
      <c r="B25" s="526">
        <v>450000</v>
      </c>
      <c r="C25" s="319"/>
    </row>
    <row r="26" spans="1:3" ht="16">
      <c r="A26" s="319" t="s">
        <v>628</v>
      </c>
      <c r="B26" s="526">
        <v>140000</v>
      </c>
      <c r="C26" s="319"/>
    </row>
    <row r="27" spans="1:3" ht="16">
      <c r="A27" s="319" t="s">
        <v>629</v>
      </c>
      <c r="B27" s="526">
        <v>310000</v>
      </c>
      <c r="C27" s="319"/>
    </row>
    <row r="28" spans="1:3" ht="16">
      <c r="A28" s="319" t="s">
        <v>702</v>
      </c>
      <c r="B28" s="526">
        <v>50000</v>
      </c>
      <c r="C28" s="319" t="s">
        <v>714</v>
      </c>
    </row>
    <row r="29" spans="1:3" ht="16">
      <c r="A29" s="319" t="s">
        <v>703</v>
      </c>
      <c r="B29" s="526">
        <v>10000</v>
      </c>
      <c r="C29" s="319" t="s">
        <v>714</v>
      </c>
    </row>
    <row r="30" spans="1:3" ht="17">
      <c r="A30" s="320" t="s">
        <v>630</v>
      </c>
      <c r="B30" s="319">
        <v>8400</v>
      </c>
      <c r="C30" s="319"/>
    </row>
    <row r="31" spans="1:3" ht="16">
      <c r="A31" s="319" t="s">
        <v>720</v>
      </c>
      <c r="B31" s="319">
        <v>36000</v>
      </c>
      <c r="C31" s="319"/>
    </row>
    <row r="32" spans="1:3" ht="17" thickBot="1">
      <c r="A32" s="248" t="s">
        <v>255</v>
      </c>
      <c r="B32" s="526">
        <v>170000</v>
      </c>
      <c r="C32" s="62"/>
    </row>
    <row r="33" spans="1:3" ht="17" thickBot="1">
      <c r="A33" s="321" t="s">
        <v>22</v>
      </c>
      <c r="B33" s="526">
        <f>SUM(B25:B32)</f>
        <v>1174400</v>
      </c>
      <c r="C33" s="322"/>
    </row>
  </sheetData>
  <mergeCells count="6">
    <mergeCell ref="B9:C9"/>
    <mergeCell ref="A3:B3"/>
    <mergeCell ref="A4:C4"/>
    <mergeCell ref="A5:C5"/>
    <mergeCell ref="A7:C7"/>
    <mergeCell ref="A8:C8"/>
  </mergeCells>
  <hyperlinks>
    <hyperlink ref="A1" location="Бюджет" display="Бюджет" xr:uid="{00000000-0004-0000-0A00-000000000000}"/>
    <hyperlink ref="A2" location="Бюджет!R1C1" display="1-006" xr:uid="{00000000-0004-0000-0A00-000001000000}"/>
  </hyperlinks>
  <pageMargins left="0.75" right="0.75" top="1" bottom="1" header="0.5" footer="0.5"/>
  <pageSetup paperSize="9" scale="71" orientation="landscape" horizontalDpi="1200" verticalDpi="1200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/>
    <pageSetUpPr fitToPage="1"/>
  </sheetPr>
  <dimension ref="A1:K12"/>
  <sheetViews>
    <sheetView showGridLines="0" zoomScaleNormal="100" zoomScaleSheetLayoutView="75" workbookViewId="0"/>
  </sheetViews>
  <sheetFormatPr baseColWidth="10" defaultColWidth="9.1640625" defaultRowHeight="13"/>
  <cols>
    <col min="1" max="1" width="14.1640625" style="10" bestFit="1" customWidth="1"/>
    <col min="2" max="6" width="9.1640625" style="10"/>
    <col min="7" max="7" width="17.5" style="10" bestFit="1" customWidth="1"/>
    <col min="8" max="10" width="9.1640625" style="10"/>
    <col min="11" max="11" width="11" style="10" customWidth="1"/>
    <col min="12" max="12" width="11.1640625" style="10" customWidth="1"/>
    <col min="13" max="13" width="10.83203125" style="10" customWidth="1"/>
    <col min="14" max="16384" width="9.1640625" style="10"/>
  </cols>
  <sheetData>
    <row r="1" spans="1:11" ht="15">
      <c r="A1" s="223" t="s">
        <v>206</v>
      </c>
    </row>
    <row r="2" spans="1:11" s="30" customFormat="1" ht="18">
      <c r="A2" s="269" t="s">
        <v>30</v>
      </c>
      <c r="B2" s="21" t="e">
        <f>VLOOKUP(A2,Бюджет,2,FALSE)</f>
        <v>#N/A</v>
      </c>
      <c r="C2" s="21"/>
    </row>
    <row r="4" spans="1:11" s="33" customFormat="1" ht="15" customHeight="1">
      <c r="B4" s="681" t="s">
        <v>37</v>
      </c>
      <c r="C4" s="681"/>
      <c r="D4" s="681"/>
      <c r="E4" s="681"/>
      <c r="F4" s="681"/>
      <c r="G4" s="681"/>
      <c r="H4" s="681"/>
      <c r="I4" s="681"/>
      <c r="J4" s="681"/>
      <c r="K4" s="681"/>
    </row>
    <row r="5" spans="1:11" s="33" customFormat="1" ht="20">
      <c r="B5" s="681"/>
      <c r="C5" s="681"/>
      <c r="D5" s="681"/>
      <c r="E5" s="681"/>
      <c r="F5" s="681"/>
      <c r="G5" s="681"/>
      <c r="H5" s="681"/>
      <c r="I5" s="681"/>
      <c r="J5" s="681"/>
      <c r="K5" s="681"/>
    </row>
    <row r="6" spans="1:11" s="33" customFormat="1" ht="20">
      <c r="B6" s="688"/>
      <c r="C6" s="688"/>
      <c r="D6" s="688"/>
      <c r="E6" s="688"/>
      <c r="F6" s="688"/>
      <c r="G6" s="688"/>
      <c r="H6" s="688"/>
      <c r="I6" s="688"/>
      <c r="J6" s="688"/>
      <c r="K6" s="688"/>
    </row>
    <row r="7" spans="1:11" s="33" customFormat="1" ht="20">
      <c r="B7" s="688" t="s">
        <v>207</v>
      </c>
      <c r="C7" s="688"/>
      <c r="D7" s="688"/>
      <c r="E7" s="688"/>
      <c r="F7" s="688"/>
      <c r="G7" s="688"/>
      <c r="H7" s="688"/>
      <c r="I7" s="688"/>
      <c r="J7" s="688"/>
      <c r="K7" s="688"/>
    </row>
    <row r="8" spans="1:11" s="33" customFormat="1" ht="20">
      <c r="B8" s="34"/>
      <c r="C8" s="34"/>
      <c r="D8" s="34"/>
      <c r="E8" s="34"/>
      <c r="F8" s="34"/>
      <c r="G8" s="34"/>
      <c r="H8" s="34"/>
      <c r="I8" s="34"/>
      <c r="J8" s="34"/>
      <c r="K8" s="34"/>
    </row>
    <row r="9" spans="1:11" s="33" customFormat="1" ht="20">
      <c r="B9" s="688"/>
      <c r="C9" s="688"/>
      <c r="D9" s="688"/>
      <c r="E9" s="688"/>
      <c r="F9" s="688"/>
      <c r="G9" s="688"/>
      <c r="H9" s="688"/>
      <c r="I9" s="688"/>
      <c r="J9" s="688"/>
      <c r="K9" s="688"/>
    </row>
    <row r="10" spans="1:11" s="33" customFormat="1" ht="20">
      <c r="B10" s="34"/>
      <c r="C10" s="34"/>
      <c r="D10" s="34"/>
      <c r="E10" s="34"/>
      <c r="F10" s="34"/>
      <c r="G10" s="34"/>
      <c r="H10" s="34"/>
      <c r="I10" s="34"/>
      <c r="J10" s="34"/>
      <c r="K10" s="34"/>
    </row>
    <row r="11" spans="1:11" s="33" customFormat="1" ht="20">
      <c r="B11" s="34"/>
      <c r="C11" s="34"/>
      <c r="D11" s="34"/>
      <c r="E11" s="34"/>
      <c r="F11" s="34"/>
      <c r="G11" s="34"/>
      <c r="H11" s="34"/>
      <c r="I11" s="34"/>
      <c r="J11" s="34"/>
      <c r="K11" s="34"/>
    </row>
    <row r="12" spans="1:11" ht="18.75" customHeight="1">
      <c r="B12" s="40" t="s">
        <v>38</v>
      </c>
      <c r="C12" s="18"/>
      <c r="D12" s="18"/>
      <c r="E12" s="18"/>
      <c r="F12" s="18"/>
      <c r="G12" s="395">
        <v>300000</v>
      </c>
    </row>
  </sheetData>
  <mergeCells count="4">
    <mergeCell ref="B4:K5"/>
    <mergeCell ref="B6:K6"/>
    <mergeCell ref="B7:K7"/>
    <mergeCell ref="B9:K9"/>
  </mergeCells>
  <hyperlinks>
    <hyperlink ref="A1" location="Бюджет" display="Бюджет" xr:uid="{00000000-0004-0000-0B00-000000000000}"/>
    <hyperlink ref="A2" location="Бюджет!R1C1" display="1-007" xr:uid="{00000000-0004-0000-0B00-000001000000}"/>
  </hyperlinks>
  <pageMargins left="0.75" right="0.75" top="1" bottom="1" header="0.5" footer="0.5"/>
  <pageSetup paperSize="9" scale="95" orientation="landscape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  <pageSetUpPr fitToPage="1"/>
  </sheetPr>
  <dimension ref="A1:M18"/>
  <sheetViews>
    <sheetView showGridLines="0" zoomScaleNormal="100" zoomScaleSheetLayoutView="75" workbookViewId="0"/>
  </sheetViews>
  <sheetFormatPr baseColWidth="10" defaultColWidth="9.1640625" defaultRowHeight="13"/>
  <cols>
    <col min="1" max="1" width="47.83203125" style="10" customWidth="1"/>
    <col min="2" max="6" width="9.1640625" style="10"/>
    <col min="7" max="7" width="11.5" style="10" customWidth="1"/>
    <col min="8" max="11" width="9.1640625" style="10"/>
    <col min="12" max="12" width="11.1640625" style="10" customWidth="1"/>
    <col min="13" max="13" width="10.83203125" style="10" customWidth="1"/>
    <col min="14" max="16384" width="9.1640625" style="10"/>
  </cols>
  <sheetData>
    <row r="1" spans="1:13" ht="15">
      <c r="A1" s="223" t="s">
        <v>206</v>
      </c>
    </row>
    <row r="2" spans="1:13" s="30" customFormat="1" ht="18">
      <c r="A2" s="269" t="s">
        <v>31</v>
      </c>
      <c r="B2" s="21" t="e">
        <f>VLOOKUP(A2,Бюджет,2,FALSE)</f>
        <v>#N/A</v>
      </c>
      <c r="C2" s="21"/>
    </row>
    <row r="4" spans="1:13" s="33" customFormat="1" ht="15" customHeight="1">
      <c r="B4" s="681" t="s">
        <v>37</v>
      </c>
      <c r="C4" s="681"/>
      <c r="D4" s="681"/>
      <c r="E4" s="681"/>
      <c r="F4" s="681"/>
      <c r="G4" s="681"/>
      <c r="H4" s="681"/>
      <c r="I4" s="681"/>
      <c r="J4" s="681"/>
      <c r="K4" s="681"/>
    </row>
    <row r="5" spans="1:13" s="33" customFormat="1" ht="20">
      <c r="B5" s="681"/>
      <c r="C5" s="681"/>
      <c r="D5" s="681"/>
      <c r="E5" s="681"/>
      <c r="F5" s="681"/>
      <c r="G5" s="681"/>
      <c r="H5" s="681"/>
      <c r="I5" s="681"/>
      <c r="J5" s="681"/>
      <c r="K5" s="681"/>
    </row>
    <row r="6" spans="1:13" s="33" customFormat="1" ht="20">
      <c r="B6" s="688" t="s">
        <v>40</v>
      </c>
      <c r="C6" s="688"/>
      <c r="D6" s="688"/>
      <c r="E6" s="688"/>
      <c r="F6" s="688"/>
      <c r="G6" s="688"/>
      <c r="H6" s="688"/>
      <c r="I6" s="688"/>
      <c r="J6" s="688"/>
      <c r="K6" s="688"/>
    </row>
    <row r="7" spans="1:13" s="33" customFormat="1" ht="20">
      <c r="B7" s="688"/>
      <c r="C7" s="688"/>
      <c r="D7" s="688"/>
      <c r="E7" s="688"/>
      <c r="F7" s="688"/>
      <c r="G7" s="688"/>
      <c r="H7" s="688"/>
      <c r="I7" s="688"/>
      <c r="J7" s="688"/>
      <c r="K7" s="688"/>
    </row>
    <row r="8" spans="1:13" s="33" customFormat="1" ht="20">
      <c r="B8" s="688"/>
      <c r="C8" s="688"/>
      <c r="D8" s="688"/>
      <c r="E8" s="688"/>
      <c r="F8" s="688"/>
      <c r="G8" s="688"/>
      <c r="H8" s="688"/>
      <c r="I8" s="688"/>
      <c r="J8" s="688"/>
      <c r="K8" s="688"/>
      <c r="L8" s="330"/>
    </row>
    <row r="9" spans="1:13" s="33" customFormat="1" ht="20">
      <c r="B9" s="688"/>
      <c r="C9" s="688"/>
      <c r="D9" s="688"/>
      <c r="E9" s="688"/>
      <c r="F9" s="688"/>
      <c r="G9" s="688"/>
      <c r="H9" s="688"/>
      <c r="I9" s="688"/>
      <c r="J9" s="688"/>
      <c r="K9" s="688"/>
      <c r="L9" s="688"/>
      <c r="M9" s="688"/>
    </row>
    <row r="10" spans="1:13" s="33" customFormat="1" ht="20">
      <c r="B10" s="34"/>
      <c r="C10" s="34"/>
      <c r="D10" s="34"/>
      <c r="E10" s="34"/>
      <c r="F10" s="34"/>
      <c r="G10" s="34"/>
      <c r="H10" s="34"/>
      <c r="I10" s="34"/>
      <c r="J10" s="34"/>
      <c r="K10" s="34"/>
    </row>
    <row r="11" spans="1:13" s="33" customFormat="1" ht="20">
      <c r="B11" s="34"/>
      <c r="C11" s="34"/>
      <c r="D11" s="34"/>
      <c r="E11" s="34"/>
      <c r="F11" s="34"/>
      <c r="G11" s="34"/>
      <c r="H11" s="34"/>
      <c r="I11" s="34"/>
      <c r="J11" s="34"/>
      <c r="K11" s="34"/>
    </row>
    <row r="12" spans="1:13" ht="18.75" customHeight="1">
      <c r="B12" s="40"/>
      <c r="C12" s="18"/>
      <c r="D12" s="18"/>
      <c r="E12" s="18"/>
      <c r="F12" s="18"/>
      <c r="G12" s="19"/>
    </row>
    <row r="15" spans="1:13">
      <c r="B15" s="69" t="s">
        <v>293</v>
      </c>
      <c r="C15" s="69" t="s">
        <v>294</v>
      </c>
      <c r="D15" s="69" t="s">
        <v>295</v>
      </c>
      <c r="E15" s="69" t="s">
        <v>296</v>
      </c>
      <c r="F15" s="69" t="s">
        <v>297</v>
      </c>
      <c r="G15" s="69" t="s">
        <v>298</v>
      </c>
      <c r="H15" s="69" t="s">
        <v>299</v>
      </c>
      <c r="I15" s="69" t="s">
        <v>259</v>
      </c>
      <c r="J15" s="69" t="s">
        <v>228</v>
      </c>
      <c r="K15" s="69" t="s">
        <v>260</v>
      </c>
      <c r="L15" s="69" t="s">
        <v>230</v>
      </c>
      <c r="M15" s="69" t="s">
        <v>231</v>
      </c>
    </row>
    <row r="16" spans="1:13">
      <c r="A16" s="396">
        <f>SUM(B16:M16)</f>
        <v>5725000</v>
      </c>
      <c r="B16" s="397">
        <f t="shared" ref="B16:M16" si="0">SUM(B17:B18)</f>
        <v>0</v>
      </c>
      <c r="C16" s="462">
        <f t="shared" si="0"/>
        <v>0</v>
      </c>
      <c r="D16" s="462">
        <f t="shared" si="0"/>
        <v>2025000</v>
      </c>
      <c r="E16" s="462">
        <f t="shared" si="0"/>
        <v>0</v>
      </c>
      <c r="F16" s="462">
        <f t="shared" si="0"/>
        <v>1025000</v>
      </c>
      <c r="G16" s="462">
        <f t="shared" si="0"/>
        <v>0</v>
      </c>
      <c r="H16" s="462">
        <f t="shared" si="0"/>
        <v>1025000</v>
      </c>
      <c r="I16" s="462">
        <f t="shared" si="0"/>
        <v>0</v>
      </c>
      <c r="J16" s="462">
        <f t="shared" si="0"/>
        <v>825000</v>
      </c>
      <c r="K16" s="462">
        <f t="shared" si="0"/>
        <v>0</v>
      </c>
      <c r="L16" s="462">
        <f t="shared" si="0"/>
        <v>825000</v>
      </c>
      <c r="M16" s="397">
        <f t="shared" si="0"/>
        <v>0</v>
      </c>
    </row>
    <row r="17" spans="1:13">
      <c r="A17" s="464" t="s">
        <v>658</v>
      </c>
      <c r="B17" s="274"/>
      <c r="C17" s="274"/>
      <c r="D17" s="274">
        <v>2000000</v>
      </c>
      <c r="E17" s="274"/>
      <c r="F17" s="274">
        <v>1000000</v>
      </c>
      <c r="G17" s="69"/>
      <c r="H17" s="274">
        <v>1000000</v>
      </c>
      <c r="I17" s="69"/>
      <c r="J17" s="274">
        <v>800000</v>
      </c>
      <c r="K17" s="69"/>
      <c r="L17" s="274">
        <v>800000</v>
      </c>
      <c r="M17" s="69"/>
    </row>
    <row r="18" spans="1:13">
      <c r="A18" s="463" t="s">
        <v>659</v>
      </c>
      <c r="B18" s="69"/>
      <c r="C18" s="69"/>
      <c r="D18" s="69">
        <v>25000</v>
      </c>
      <c r="E18" s="69"/>
      <c r="F18" s="69">
        <v>25000</v>
      </c>
      <c r="G18" s="69"/>
      <c r="H18" s="69">
        <v>25000</v>
      </c>
      <c r="I18" s="69"/>
      <c r="J18" s="69">
        <v>25000</v>
      </c>
      <c r="K18" s="69"/>
      <c r="L18" s="69">
        <v>25000</v>
      </c>
      <c r="M18" s="69"/>
    </row>
  </sheetData>
  <mergeCells count="5">
    <mergeCell ref="B4:K5"/>
    <mergeCell ref="B6:K6"/>
    <mergeCell ref="B7:K7"/>
    <mergeCell ref="B9:M9"/>
    <mergeCell ref="B8:K8"/>
  </mergeCells>
  <hyperlinks>
    <hyperlink ref="A1" location="Бюджет" display="Бюджет" xr:uid="{00000000-0004-0000-0C00-000000000000}"/>
    <hyperlink ref="A2" location="Бюджет" display="1-008" xr:uid="{00000000-0004-0000-0C00-000001000000}"/>
  </hyperlinks>
  <pageMargins left="0.75" right="0.75" top="1" bottom="1" header="0.5" footer="0.5"/>
  <pageSetup paperSize="9" scale="96" orientation="landscape" horizontalDpi="1200" verticalDpi="1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  <pageSetUpPr fitToPage="1"/>
  </sheetPr>
  <dimension ref="A1:N73"/>
  <sheetViews>
    <sheetView showGridLines="0" topLeftCell="A31" zoomScaleNormal="100" zoomScaleSheetLayoutView="85" workbookViewId="0"/>
  </sheetViews>
  <sheetFormatPr baseColWidth="10" defaultColWidth="9.1640625" defaultRowHeight="13"/>
  <cols>
    <col min="1" max="1" width="69.83203125" style="10" customWidth="1"/>
    <col min="2" max="2" width="22.5" style="59" customWidth="1"/>
    <col min="3" max="7" width="11.5" style="10" customWidth="1"/>
    <col min="8" max="8" width="15.5" style="10" customWidth="1"/>
    <col min="9" max="10" width="13.5" style="10" customWidth="1"/>
    <col min="11" max="12" width="11.5" style="10" customWidth="1"/>
    <col min="13" max="13" width="11.6640625" style="10" customWidth="1"/>
    <col min="14" max="14" width="12.1640625" style="10" customWidth="1"/>
    <col min="15" max="16384" width="9.1640625" style="10"/>
  </cols>
  <sheetData>
    <row r="1" spans="1:14" ht="15">
      <c r="A1" s="223" t="s">
        <v>206</v>
      </c>
    </row>
    <row r="2" spans="1:14" ht="17" thickBot="1">
      <c r="A2" s="86" t="s">
        <v>52</v>
      </c>
      <c r="B2" s="87" t="s">
        <v>122</v>
      </c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ht="16" thickBot="1">
      <c r="A3" s="89" t="s">
        <v>74</v>
      </c>
      <c r="B3" s="94">
        <f>SUM(B4:B19)</f>
        <v>36535425.931034476</v>
      </c>
      <c r="C3" s="94">
        <f>SUM(C4:C19)</f>
        <v>3312618.8275862066</v>
      </c>
      <c r="D3" s="94">
        <f t="shared" ref="D3:N3" si="0">SUM(D4:D19)</f>
        <v>2948618.8275862066</v>
      </c>
      <c r="E3" s="94">
        <f t="shared" si="0"/>
        <v>3089618.8275862066</v>
      </c>
      <c r="F3" s="94">
        <f t="shared" si="0"/>
        <v>3308618.8275862066</v>
      </c>
      <c r="G3" s="94">
        <f t="shared" si="0"/>
        <v>2899618.8275862066</v>
      </c>
      <c r="H3" s="94">
        <f t="shared" si="0"/>
        <v>2872618.8275862066</v>
      </c>
      <c r="I3" s="94">
        <f t="shared" si="0"/>
        <v>3176618.8275862066</v>
      </c>
      <c r="J3" s="94">
        <f t="shared" si="0"/>
        <v>2868618.8275862066</v>
      </c>
      <c r="K3" s="94">
        <f t="shared" si="0"/>
        <v>3008618.8275862066</v>
      </c>
      <c r="L3" s="94">
        <f t="shared" si="0"/>
        <v>3208618.8275862066</v>
      </c>
      <c r="M3" s="94">
        <f t="shared" si="0"/>
        <v>2918618.8275862066</v>
      </c>
      <c r="N3" s="94">
        <f t="shared" si="0"/>
        <v>2922618.8275862066</v>
      </c>
    </row>
    <row r="4" spans="1:14" ht="16">
      <c r="A4" s="118" t="s">
        <v>269</v>
      </c>
      <c r="B4" s="154">
        <f t="shared" ref="B4:B19" si="1">SUM(C4:N4)</f>
        <v>16200000</v>
      </c>
      <c r="C4" s="134">
        <v>1350000</v>
      </c>
      <c r="D4" s="80">
        <v>1350000</v>
      </c>
      <c r="E4" s="80">
        <v>1350000</v>
      </c>
      <c r="F4" s="80">
        <v>1350000</v>
      </c>
      <c r="G4" s="80">
        <v>1350000</v>
      </c>
      <c r="H4" s="80">
        <v>1350000</v>
      </c>
      <c r="I4" s="80">
        <v>1350000</v>
      </c>
      <c r="J4" s="80">
        <v>1350000</v>
      </c>
      <c r="K4" s="80">
        <v>1350000</v>
      </c>
      <c r="L4" s="80">
        <v>1350000</v>
      </c>
      <c r="M4" s="80">
        <v>1350000</v>
      </c>
      <c r="N4" s="80">
        <v>1350000</v>
      </c>
    </row>
    <row r="5" spans="1:14" ht="16">
      <c r="A5" s="119" t="s">
        <v>263</v>
      </c>
      <c r="B5" s="155">
        <f t="shared" si="1"/>
        <v>8044137.9310344802</v>
      </c>
      <c r="C5" s="135">
        <f t="shared" ref="C5:N5" si="2">C4/0.87-C4+C4/0.87*0.302</f>
        <v>670344.82758620684</v>
      </c>
      <c r="D5" s="68">
        <f t="shared" si="2"/>
        <v>670344.82758620684</v>
      </c>
      <c r="E5" s="68">
        <f t="shared" si="2"/>
        <v>670344.82758620684</v>
      </c>
      <c r="F5" s="68">
        <f t="shared" si="2"/>
        <v>670344.82758620684</v>
      </c>
      <c r="G5" s="68">
        <f t="shared" si="2"/>
        <v>670344.82758620684</v>
      </c>
      <c r="H5" s="68">
        <f t="shared" si="2"/>
        <v>670344.82758620684</v>
      </c>
      <c r="I5" s="68">
        <f t="shared" si="2"/>
        <v>670344.82758620684</v>
      </c>
      <c r="J5" s="68">
        <f t="shared" si="2"/>
        <v>670344.82758620684</v>
      </c>
      <c r="K5" s="68">
        <f t="shared" si="2"/>
        <v>670344.82758620684</v>
      </c>
      <c r="L5" s="68">
        <f t="shared" si="2"/>
        <v>670344.82758620684</v>
      </c>
      <c r="M5" s="68">
        <f t="shared" si="2"/>
        <v>670344.82758620684</v>
      </c>
      <c r="N5" s="68">
        <f t="shared" si="2"/>
        <v>670344.82758620684</v>
      </c>
    </row>
    <row r="6" spans="1:14" ht="16">
      <c r="A6" s="119" t="s">
        <v>124</v>
      </c>
      <c r="B6" s="155">
        <f t="shared" si="1"/>
        <v>136000</v>
      </c>
      <c r="C6" s="135">
        <v>54000</v>
      </c>
      <c r="D6" s="68"/>
      <c r="E6" s="68">
        <v>22000</v>
      </c>
      <c r="F6" s="68">
        <v>60000</v>
      </c>
      <c r="G6" s="68"/>
      <c r="H6" s="68"/>
      <c r="I6" s="68"/>
      <c r="J6" s="68"/>
      <c r="K6" s="68"/>
      <c r="L6" s="68"/>
      <c r="M6" s="68"/>
      <c r="N6" s="68"/>
    </row>
    <row r="7" spans="1:14" ht="16">
      <c r="A7" s="119" t="s">
        <v>131</v>
      </c>
      <c r="B7" s="155">
        <f t="shared" si="1"/>
        <v>300000</v>
      </c>
      <c r="C7" s="135">
        <v>25000</v>
      </c>
      <c r="D7" s="68">
        <v>25000</v>
      </c>
      <c r="E7" s="68">
        <v>25000</v>
      </c>
      <c r="F7" s="68">
        <v>25000</v>
      </c>
      <c r="G7" s="68">
        <v>25000</v>
      </c>
      <c r="H7" s="68">
        <v>25000</v>
      </c>
      <c r="I7" s="68">
        <v>25000</v>
      </c>
      <c r="J7" s="68">
        <v>25000</v>
      </c>
      <c r="K7" s="68">
        <v>25000</v>
      </c>
      <c r="L7" s="68">
        <v>25000</v>
      </c>
      <c r="M7" s="68">
        <v>25000</v>
      </c>
      <c r="N7" s="68">
        <v>25000</v>
      </c>
    </row>
    <row r="8" spans="1:14" ht="16">
      <c r="A8" s="119" t="s">
        <v>120</v>
      </c>
      <c r="B8" s="155">
        <f t="shared" si="1"/>
        <v>120000</v>
      </c>
      <c r="C8" s="135">
        <v>10000</v>
      </c>
      <c r="D8" s="68">
        <v>10000</v>
      </c>
      <c r="E8" s="68">
        <v>10000</v>
      </c>
      <c r="F8" s="68">
        <v>10000</v>
      </c>
      <c r="G8" s="68">
        <v>10000</v>
      </c>
      <c r="H8" s="68">
        <v>10000</v>
      </c>
      <c r="I8" s="68">
        <v>10000</v>
      </c>
      <c r="J8" s="68">
        <v>10000</v>
      </c>
      <c r="K8" s="68">
        <v>10000</v>
      </c>
      <c r="L8" s="68">
        <v>10000</v>
      </c>
      <c r="M8" s="68">
        <v>10000</v>
      </c>
      <c r="N8" s="68">
        <v>10000</v>
      </c>
    </row>
    <row r="9" spans="1:14" ht="16">
      <c r="A9" s="119" t="s">
        <v>121</v>
      </c>
      <c r="B9" s="155">
        <f t="shared" si="1"/>
        <v>1547292</v>
      </c>
      <c r="C9" s="136">
        <f t="shared" ref="C9:N9" si="3">108818+20123</f>
        <v>128941</v>
      </c>
      <c r="D9" s="81">
        <f t="shared" si="3"/>
        <v>128941</v>
      </c>
      <c r="E9" s="81">
        <f t="shared" si="3"/>
        <v>128941</v>
      </c>
      <c r="F9" s="81">
        <f t="shared" si="3"/>
        <v>128941</v>
      </c>
      <c r="G9" s="81">
        <f t="shared" si="3"/>
        <v>128941</v>
      </c>
      <c r="H9" s="81">
        <f t="shared" si="3"/>
        <v>128941</v>
      </c>
      <c r="I9" s="81">
        <f t="shared" si="3"/>
        <v>128941</v>
      </c>
      <c r="J9" s="81">
        <f t="shared" si="3"/>
        <v>128941</v>
      </c>
      <c r="K9" s="81">
        <f t="shared" si="3"/>
        <v>128941</v>
      </c>
      <c r="L9" s="81">
        <f t="shared" si="3"/>
        <v>128941</v>
      </c>
      <c r="M9" s="81">
        <f t="shared" si="3"/>
        <v>128941</v>
      </c>
      <c r="N9" s="81">
        <f t="shared" si="3"/>
        <v>128941</v>
      </c>
    </row>
    <row r="10" spans="1:14" ht="16">
      <c r="A10" s="119" t="s">
        <v>129</v>
      </c>
      <c r="B10" s="155">
        <f t="shared" si="1"/>
        <v>840000</v>
      </c>
      <c r="C10" s="135">
        <v>90000</v>
      </c>
      <c r="D10" s="68">
        <v>90000</v>
      </c>
      <c r="E10" s="68">
        <v>80000</v>
      </c>
      <c r="F10" s="68">
        <v>80000</v>
      </c>
      <c r="G10" s="68">
        <v>60000</v>
      </c>
      <c r="H10" s="68">
        <v>40000</v>
      </c>
      <c r="I10" s="68">
        <v>40000</v>
      </c>
      <c r="J10" s="68">
        <v>40000</v>
      </c>
      <c r="K10" s="68">
        <v>60000</v>
      </c>
      <c r="L10" s="68">
        <v>80000</v>
      </c>
      <c r="M10" s="68">
        <v>90000</v>
      </c>
      <c r="N10" s="68">
        <v>90000</v>
      </c>
    </row>
    <row r="11" spans="1:14" ht="16">
      <c r="A11" s="119" t="s">
        <v>123</v>
      </c>
      <c r="B11" s="155">
        <f t="shared" si="1"/>
        <v>240000</v>
      </c>
      <c r="C11" s="135">
        <v>20000</v>
      </c>
      <c r="D11" s="68">
        <v>20000</v>
      </c>
      <c r="E11" s="68">
        <v>20000</v>
      </c>
      <c r="F11" s="68">
        <v>20000</v>
      </c>
      <c r="G11" s="68">
        <v>20000</v>
      </c>
      <c r="H11" s="68">
        <v>20000</v>
      </c>
      <c r="I11" s="68">
        <v>20000</v>
      </c>
      <c r="J11" s="68">
        <v>20000</v>
      </c>
      <c r="K11" s="68">
        <v>20000</v>
      </c>
      <c r="L11" s="68">
        <v>20000</v>
      </c>
      <c r="M11" s="68">
        <v>20000</v>
      </c>
      <c r="N11" s="68">
        <v>20000</v>
      </c>
    </row>
    <row r="12" spans="1:14" ht="16">
      <c r="A12" s="119" t="s">
        <v>126</v>
      </c>
      <c r="B12" s="155">
        <f t="shared" si="1"/>
        <v>840000</v>
      </c>
      <c r="C12" s="135">
        <v>70000</v>
      </c>
      <c r="D12" s="68">
        <v>70000</v>
      </c>
      <c r="E12" s="68">
        <v>70000</v>
      </c>
      <c r="F12" s="68">
        <v>70000</v>
      </c>
      <c r="G12" s="68">
        <v>70000</v>
      </c>
      <c r="H12" s="68">
        <v>70000</v>
      </c>
      <c r="I12" s="68">
        <v>70000</v>
      </c>
      <c r="J12" s="68">
        <v>70000</v>
      </c>
      <c r="K12" s="68">
        <v>70000</v>
      </c>
      <c r="L12" s="68">
        <v>70000</v>
      </c>
      <c r="M12" s="68">
        <v>70000</v>
      </c>
      <c r="N12" s="68">
        <v>70000</v>
      </c>
    </row>
    <row r="13" spans="1:14" ht="16">
      <c r="A13" s="119" t="s">
        <v>125</v>
      </c>
      <c r="B13" s="155">
        <f t="shared" si="1"/>
        <v>55000</v>
      </c>
      <c r="C13" s="135"/>
      <c r="D13" s="68"/>
      <c r="E13" s="68"/>
      <c r="F13" s="68"/>
      <c r="G13" s="68"/>
      <c r="H13" s="68"/>
      <c r="I13" s="68"/>
      <c r="J13" s="68"/>
      <c r="K13" s="68">
        <v>55000</v>
      </c>
      <c r="L13" s="68"/>
      <c r="M13" s="68"/>
      <c r="N13" s="68"/>
    </row>
    <row r="14" spans="1:14" ht="32">
      <c r="A14" s="119" t="s">
        <v>127</v>
      </c>
      <c r="B14" s="155">
        <f t="shared" si="1"/>
        <v>211000</v>
      </c>
      <c r="C14" s="135"/>
      <c r="D14" s="68"/>
      <c r="E14" s="68">
        <f>15000+40000+60000+4000</f>
        <v>119000</v>
      </c>
      <c r="F14" s="68"/>
      <c r="G14" s="81">
        <f>8000+3000</f>
        <v>11000</v>
      </c>
      <c r="H14" s="81">
        <v>4000</v>
      </c>
      <c r="I14" s="81">
        <f>8000</f>
        <v>8000</v>
      </c>
      <c r="J14" s="68"/>
      <c r="K14" s="68">
        <f>15000+40000+6000+4000</f>
        <v>65000</v>
      </c>
      <c r="L14" s="68"/>
      <c r="M14" s="68"/>
      <c r="N14" s="81">
        <v>4000</v>
      </c>
    </row>
    <row r="15" spans="1:14" ht="16">
      <c r="A15" s="119" t="s">
        <v>134</v>
      </c>
      <c r="B15" s="155">
        <f t="shared" si="1"/>
        <v>2400000</v>
      </c>
      <c r="C15" s="135">
        <v>200000</v>
      </c>
      <c r="D15" s="68">
        <v>200000</v>
      </c>
      <c r="E15" s="68">
        <v>200000</v>
      </c>
      <c r="F15" s="68">
        <v>200000</v>
      </c>
      <c r="G15" s="68">
        <v>200000</v>
      </c>
      <c r="H15" s="68">
        <v>200000</v>
      </c>
      <c r="I15" s="68">
        <v>200000</v>
      </c>
      <c r="J15" s="68">
        <v>200000</v>
      </c>
      <c r="K15" s="68">
        <v>200000</v>
      </c>
      <c r="L15" s="68">
        <v>200000</v>
      </c>
      <c r="M15" s="68">
        <v>200000</v>
      </c>
      <c r="N15" s="68">
        <v>200000</v>
      </c>
    </row>
    <row r="16" spans="1:14" ht="16">
      <c r="A16" s="119" t="s">
        <v>136</v>
      </c>
      <c r="B16" s="155">
        <f t="shared" si="1"/>
        <v>2790000</v>
      </c>
      <c r="C16" s="135">
        <v>260000</v>
      </c>
      <c r="D16" s="68">
        <v>250000</v>
      </c>
      <c r="E16" s="68">
        <v>260000</v>
      </c>
      <c r="F16" s="68">
        <v>260000</v>
      </c>
      <c r="G16" s="68">
        <v>220000</v>
      </c>
      <c r="H16" s="68">
        <v>220000</v>
      </c>
      <c r="I16" s="68">
        <v>220000</v>
      </c>
      <c r="J16" s="68">
        <v>220000</v>
      </c>
      <c r="K16" s="68">
        <v>220000</v>
      </c>
      <c r="L16" s="68">
        <v>220000</v>
      </c>
      <c r="M16" s="68">
        <v>220000</v>
      </c>
      <c r="N16" s="68">
        <v>220000</v>
      </c>
    </row>
    <row r="17" spans="1:14" ht="16">
      <c r="A17" s="119" t="s">
        <v>130</v>
      </c>
      <c r="B17" s="155">
        <f t="shared" si="1"/>
        <v>1200000</v>
      </c>
      <c r="C17" s="135">
        <v>300000</v>
      </c>
      <c r="D17" s="68"/>
      <c r="E17" s="68"/>
      <c r="F17" s="68">
        <v>300000</v>
      </c>
      <c r="G17" s="68"/>
      <c r="H17" s="68"/>
      <c r="I17" s="68">
        <v>300000</v>
      </c>
      <c r="J17" s="68"/>
      <c r="K17" s="68"/>
      <c r="L17" s="68">
        <v>300000</v>
      </c>
      <c r="M17" s="68"/>
      <c r="N17" s="68"/>
    </row>
    <row r="18" spans="1:14" ht="16">
      <c r="A18" s="120" t="s">
        <v>128</v>
      </c>
      <c r="B18" s="156">
        <f t="shared" si="1"/>
        <v>411996</v>
      </c>
      <c r="C18" s="137">
        <f t="shared" ref="C18:N18" si="4">33333+1000</f>
        <v>34333</v>
      </c>
      <c r="D18" s="85">
        <f t="shared" si="4"/>
        <v>34333</v>
      </c>
      <c r="E18" s="85">
        <f t="shared" si="4"/>
        <v>34333</v>
      </c>
      <c r="F18" s="85">
        <f t="shared" si="4"/>
        <v>34333</v>
      </c>
      <c r="G18" s="85">
        <f t="shared" si="4"/>
        <v>34333</v>
      </c>
      <c r="H18" s="85">
        <f t="shared" si="4"/>
        <v>34333</v>
      </c>
      <c r="I18" s="85">
        <f t="shared" si="4"/>
        <v>34333</v>
      </c>
      <c r="J18" s="85">
        <f t="shared" si="4"/>
        <v>34333</v>
      </c>
      <c r="K18" s="85">
        <f t="shared" si="4"/>
        <v>34333</v>
      </c>
      <c r="L18" s="85">
        <f t="shared" si="4"/>
        <v>34333</v>
      </c>
      <c r="M18" s="85">
        <f t="shared" si="4"/>
        <v>34333</v>
      </c>
      <c r="N18" s="85">
        <f t="shared" si="4"/>
        <v>34333</v>
      </c>
    </row>
    <row r="19" spans="1:14" ht="16">
      <c r="A19" s="182" t="s">
        <v>140</v>
      </c>
      <c r="B19" s="90">
        <f t="shared" si="1"/>
        <v>1200000</v>
      </c>
      <c r="C19" s="135">
        <v>100000</v>
      </c>
      <c r="D19" s="135">
        <v>100000</v>
      </c>
      <c r="E19" s="135">
        <v>100000</v>
      </c>
      <c r="F19" s="135">
        <v>100000</v>
      </c>
      <c r="G19" s="135">
        <v>100000</v>
      </c>
      <c r="H19" s="135">
        <v>100000</v>
      </c>
      <c r="I19" s="135">
        <v>100000</v>
      </c>
      <c r="J19" s="135">
        <v>100000</v>
      </c>
      <c r="K19" s="135">
        <v>100000</v>
      </c>
      <c r="L19" s="135">
        <v>100000</v>
      </c>
      <c r="M19" s="135">
        <v>100000</v>
      </c>
      <c r="N19" s="135">
        <v>100000</v>
      </c>
    </row>
    <row r="20" spans="1:14" ht="17" thickBot="1">
      <c r="A20" s="179" t="s">
        <v>75</v>
      </c>
      <c r="B20" s="178">
        <f>SUM(B21:B26)</f>
        <v>2779000</v>
      </c>
      <c r="C20" s="180">
        <f>SUM(C21:C26)</f>
        <v>305000</v>
      </c>
      <c r="D20" s="181">
        <f>SUM(D21:D26)</f>
        <v>270000</v>
      </c>
      <c r="E20" s="181">
        <f t="shared" ref="E20:N20" si="5">SUM(E21:E26)</f>
        <v>190000</v>
      </c>
      <c r="F20" s="181">
        <f t="shared" si="5"/>
        <v>185000</v>
      </c>
      <c r="G20" s="181">
        <f t="shared" si="5"/>
        <v>676000</v>
      </c>
      <c r="H20" s="181">
        <f t="shared" si="5"/>
        <v>136000</v>
      </c>
      <c r="I20" s="181">
        <f t="shared" si="5"/>
        <v>145000</v>
      </c>
      <c r="J20" s="181">
        <f t="shared" si="5"/>
        <v>126000</v>
      </c>
      <c r="K20" s="181">
        <f t="shared" si="5"/>
        <v>126000</v>
      </c>
      <c r="L20" s="181">
        <f t="shared" si="5"/>
        <v>160000</v>
      </c>
      <c r="M20" s="181">
        <f t="shared" si="5"/>
        <v>190000</v>
      </c>
      <c r="N20" s="181">
        <f t="shared" si="5"/>
        <v>270000</v>
      </c>
    </row>
    <row r="21" spans="1:14" ht="16">
      <c r="A21" s="118" t="s">
        <v>76</v>
      </c>
      <c r="B21" s="158">
        <f t="shared" ref="B21:B26" si="6">SUM(C21:N21)</f>
        <v>1120000</v>
      </c>
      <c r="C21" s="134">
        <v>200000</v>
      </c>
      <c r="D21" s="80">
        <v>200000</v>
      </c>
      <c r="E21" s="80">
        <v>120000</v>
      </c>
      <c r="F21" s="80">
        <v>40000</v>
      </c>
      <c r="G21" s="80">
        <v>40000</v>
      </c>
      <c r="H21" s="80">
        <v>40000</v>
      </c>
      <c r="I21" s="80">
        <v>40000</v>
      </c>
      <c r="J21" s="80">
        <v>40000</v>
      </c>
      <c r="K21" s="80">
        <v>40000</v>
      </c>
      <c r="L21" s="80">
        <v>40000</v>
      </c>
      <c r="M21" s="80">
        <v>120000</v>
      </c>
      <c r="N21" s="80">
        <v>200000</v>
      </c>
    </row>
    <row r="22" spans="1:14" ht="16">
      <c r="A22" s="119" t="s">
        <v>77</v>
      </c>
      <c r="B22" s="155">
        <f t="shared" si="6"/>
        <v>550000</v>
      </c>
      <c r="C22" s="139"/>
      <c r="D22" s="91"/>
      <c r="E22" s="91"/>
      <c r="F22" s="91"/>
      <c r="G22" s="91">
        <v>550000</v>
      </c>
      <c r="H22" s="91"/>
      <c r="I22" s="91"/>
      <c r="J22" s="91"/>
      <c r="K22" s="91"/>
      <c r="L22" s="91"/>
      <c r="M22" s="91"/>
      <c r="N22" s="91"/>
    </row>
    <row r="23" spans="1:14" ht="16">
      <c r="A23" s="119" t="s">
        <v>78</v>
      </c>
      <c r="B23" s="155">
        <f t="shared" si="6"/>
        <v>124000</v>
      </c>
      <c r="C23" s="139">
        <v>15000</v>
      </c>
      <c r="D23" s="62"/>
      <c r="E23" s="91"/>
      <c r="F23" s="91">
        <v>15000</v>
      </c>
      <c r="G23" s="92">
        <v>16000</v>
      </c>
      <c r="H23" s="91">
        <v>16000</v>
      </c>
      <c r="I23" s="91">
        <v>15000</v>
      </c>
      <c r="J23" s="92">
        <v>16000</v>
      </c>
      <c r="K23" s="91">
        <v>16000</v>
      </c>
      <c r="L23" s="91">
        <v>15000</v>
      </c>
      <c r="M23" s="62"/>
      <c r="N23" s="91"/>
    </row>
    <row r="24" spans="1:14" ht="16">
      <c r="A24" s="119" t="s">
        <v>133</v>
      </c>
      <c r="B24" s="155">
        <f t="shared" si="6"/>
        <v>65000</v>
      </c>
      <c r="C24" s="140"/>
      <c r="D24" s="62"/>
      <c r="E24" s="62"/>
      <c r="F24" s="93">
        <v>40000</v>
      </c>
      <c r="G24" s="62"/>
      <c r="H24" s="93">
        <v>10000</v>
      </c>
      <c r="I24" s="62"/>
      <c r="J24" s="62"/>
      <c r="K24" s="62"/>
      <c r="L24" s="93">
        <v>15000</v>
      </c>
      <c r="M24" s="62"/>
      <c r="N24" s="62"/>
    </row>
    <row r="25" spans="1:14" ht="16">
      <c r="A25" s="119" t="s">
        <v>79</v>
      </c>
      <c r="B25" s="155">
        <f t="shared" si="6"/>
        <v>840000</v>
      </c>
      <c r="C25" s="139">
        <v>70000</v>
      </c>
      <c r="D25" s="91">
        <v>70000</v>
      </c>
      <c r="E25" s="91">
        <v>70000</v>
      </c>
      <c r="F25" s="91">
        <v>70000</v>
      </c>
      <c r="G25" s="91">
        <v>70000</v>
      </c>
      <c r="H25" s="91">
        <v>70000</v>
      </c>
      <c r="I25" s="91">
        <v>70000</v>
      </c>
      <c r="J25" s="91">
        <v>70000</v>
      </c>
      <c r="K25" s="91">
        <v>70000</v>
      </c>
      <c r="L25" s="91">
        <v>70000</v>
      </c>
      <c r="M25" s="91">
        <v>70000</v>
      </c>
      <c r="N25" s="91">
        <v>70000</v>
      </c>
    </row>
    <row r="26" spans="1:14" ht="17" thickBot="1">
      <c r="A26" s="119" t="s">
        <v>132</v>
      </c>
      <c r="B26" s="156">
        <f t="shared" si="6"/>
        <v>80000</v>
      </c>
      <c r="C26" s="137">
        <v>20000</v>
      </c>
      <c r="D26" s="85"/>
      <c r="E26" s="85"/>
      <c r="F26" s="85">
        <v>20000</v>
      </c>
      <c r="G26" s="85"/>
      <c r="H26" s="85"/>
      <c r="I26" s="85">
        <v>20000</v>
      </c>
      <c r="J26" s="85"/>
      <c r="K26" s="85"/>
      <c r="L26" s="85">
        <v>20000</v>
      </c>
      <c r="M26" s="85"/>
      <c r="N26" s="85"/>
    </row>
    <row r="27" spans="1:14" ht="16" thickBot="1">
      <c r="A27" s="122" t="s">
        <v>80</v>
      </c>
      <c r="B27" s="157">
        <f t="shared" ref="B27:M27" si="7">SUM(B28:B30)</f>
        <v>860000</v>
      </c>
      <c r="C27" s="138">
        <f t="shared" si="7"/>
        <v>80000</v>
      </c>
      <c r="D27" s="95">
        <f t="shared" si="7"/>
        <v>80000</v>
      </c>
      <c r="E27" s="95">
        <f t="shared" si="7"/>
        <v>0</v>
      </c>
      <c r="F27" s="95">
        <f t="shared" si="7"/>
        <v>160000</v>
      </c>
      <c r="G27" s="95">
        <f t="shared" si="7"/>
        <v>120000</v>
      </c>
      <c r="H27" s="95">
        <f t="shared" si="7"/>
        <v>0</v>
      </c>
      <c r="I27" s="95">
        <f t="shared" si="7"/>
        <v>0</v>
      </c>
      <c r="J27" s="95">
        <f t="shared" si="7"/>
        <v>0</v>
      </c>
      <c r="K27" s="95">
        <f t="shared" si="7"/>
        <v>20000</v>
      </c>
      <c r="L27" s="95">
        <f t="shared" si="7"/>
        <v>120000</v>
      </c>
      <c r="M27" s="95">
        <f t="shared" si="7"/>
        <v>100000</v>
      </c>
      <c r="N27" s="96"/>
    </row>
    <row r="28" spans="1:14" ht="16">
      <c r="A28" s="119" t="s">
        <v>81</v>
      </c>
      <c r="B28" s="158">
        <f>SUM(C28:N28)</f>
        <v>320000</v>
      </c>
      <c r="C28" s="141"/>
      <c r="D28" s="88"/>
      <c r="E28" s="80"/>
      <c r="F28" s="80">
        <v>160000</v>
      </c>
      <c r="G28" s="80">
        <v>120000</v>
      </c>
      <c r="H28" s="88"/>
      <c r="I28" s="88"/>
      <c r="J28" s="88"/>
      <c r="K28" s="80">
        <v>20000</v>
      </c>
      <c r="L28" s="80">
        <v>20000</v>
      </c>
      <c r="M28" s="80"/>
      <c r="N28" s="88"/>
    </row>
    <row r="29" spans="1:14" ht="16">
      <c r="A29" s="119" t="s">
        <v>82</v>
      </c>
      <c r="B29" s="155">
        <f>SUM(C29:N29)</f>
        <v>300000</v>
      </c>
      <c r="C29" s="107"/>
      <c r="D29" s="68"/>
      <c r="E29" s="69"/>
      <c r="F29" s="69"/>
      <c r="G29" s="68"/>
      <c r="H29" s="69"/>
      <c r="I29" s="69"/>
      <c r="J29" s="69"/>
      <c r="K29" s="69"/>
      <c r="L29" s="68">
        <v>100000</v>
      </c>
      <c r="M29" s="68">
        <v>100000</v>
      </c>
      <c r="N29" s="68">
        <v>100000</v>
      </c>
    </row>
    <row r="30" spans="1:14" ht="17" thickBot="1">
      <c r="A30" s="123" t="s">
        <v>83</v>
      </c>
      <c r="B30" s="156">
        <f>SUM(C30:N30)</f>
        <v>240000</v>
      </c>
      <c r="C30" s="137">
        <v>80000</v>
      </c>
      <c r="D30" s="85">
        <v>80000</v>
      </c>
      <c r="E30" s="102"/>
      <c r="F30" s="102"/>
      <c r="G30" s="102"/>
      <c r="H30" s="102"/>
      <c r="I30" s="102"/>
      <c r="J30" s="102"/>
      <c r="K30" s="102"/>
      <c r="L30" s="102"/>
      <c r="M30" s="102"/>
      <c r="N30" s="85">
        <v>80000</v>
      </c>
    </row>
    <row r="31" spans="1:14" s="42" customFormat="1" ht="16" thickBot="1">
      <c r="A31" s="122" t="s">
        <v>84</v>
      </c>
      <c r="B31" s="90">
        <f>SUM(C31:N31)</f>
        <v>5808400</v>
      </c>
      <c r="C31" s="138">
        <f>SUM(C32:C41)</f>
        <v>308200</v>
      </c>
      <c r="D31" s="94">
        <f t="shared" ref="D31:M31" si="8">SUM(D32:D41)</f>
        <v>308200</v>
      </c>
      <c r="E31" s="94">
        <f t="shared" si="8"/>
        <v>338200</v>
      </c>
      <c r="F31" s="94">
        <f t="shared" si="8"/>
        <v>478200</v>
      </c>
      <c r="G31" s="94">
        <f t="shared" si="8"/>
        <v>773200</v>
      </c>
      <c r="H31" s="94">
        <f t="shared" si="8"/>
        <v>473200</v>
      </c>
      <c r="I31" s="94">
        <f t="shared" si="8"/>
        <v>413200</v>
      </c>
      <c r="J31" s="94">
        <f t="shared" si="8"/>
        <v>793200</v>
      </c>
      <c r="K31" s="94">
        <f t="shared" si="8"/>
        <v>873200</v>
      </c>
      <c r="L31" s="94">
        <f t="shared" si="8"/>
        <v>413200</v>
      </c>
      <c r="M31" s="94">
        <f t="shared" si="8"/>
        <v>308200</v>
      </c>
      <c r="N31" s="94">
        <f>SUM(N32:N41)</f>
        <v>328200</v>
      </c>
    </row>
    <row r="32" spans="1:14" ht="16">
      <c r="A32" s="119" t="s">
        <v>85</v>
      </c>
      <c r="B32" s="158">
        <f>SUM(C32:N32)</f>
        <v>910000</v>
      </c>
      <c r="C32" s="134"/>
      <c r="D32" s="80"/>
      <c r="E32" s="80"/>
      <c r="F32" s="80"/>
      <c r="G32" s="80">
        <v>20000</v>
      </c>
      <c r="H32" s="80">
        <v>20000</v>
      </c>
      <c r="I32" s="80">
        <v>20000</v>
      </c>
      <c r="J32" s="80">
        <v>400000</v>
      </c>
      <c r="K32" s="80">
        <v>450000</v>
      </c>
      <c r="L32" s="80"/>
      <c r="M32" s="80"/>
      <c r="N32" s="88"/>
    </row>
    <row r="33" spans="1:14" ht="16">
      <c r="A33" s="119" t="s">
        <v>86</v>
      </c>
      <c r="B33" s="158">
        <f t="shared" ref="B33:B41" si="9">SUM(C33:N33)</f>
        <v>500000</v>
      </c>
      <c r="C33" s="142"/>
      <c r="D33" s="93"/>
      <c r="E33" s="93"/>
      <c r="F33" s="93">
        <f>55000+55000</f>
        <v>110000</v>
      </c>
      <c r="G33" s="93">
        <f>65000</f>
        <v>65000</v>
      </c>
      <c r="H33" s="93">
        <f>65000</f>
        <v>65000</v>
      </c>
      <c r="I33" s="93">
        <f>65000</f>
        <v>65000</v>
      </c>
      <c r="J33" s="93">
        <f>65000</f>
        <v>65000</v>
      </c>
      <c r="K33" s="93">
        <f>65000</f>
        <v>65000</v>
      </c>
      <c r="L33" s="93">
        <f>65000</f>
        <v>65000</v>
      </c>
      <c r="M33" s="93"/>
      <c r="N33" s="93"/>
    </row>
    <row r="34" spans="1:14" ht="16">
      <c r="A34" s="124" t="s">
        <v>87</v>
      </c>
      <c r="B34" s="158">
        <f t="shared" si="9"/>
        <v>60000</v>
      </c>
      <c r="C34" s="140"/>
      <c r="D34" s="91"/>
      <c r="E34" s="91"/>
      <c r="F34" s="91"/>
      <c r="G34" s="91"/>
      <c r="H34" s="91">
        <v>60000</v>
      </c>
      <c r="I34" s="97"/>
      <c r="J34" s="91"/>
      <c r="K34" s="91"/>
      <c r="L34" s="62"/>
      <c r="M34" s="91"/>
      <c r="N34" s="91"/>
    </row>
    <row r="35" spans="1:14" ht="16">
      <c r="A35" s="124" t="s">
        <v>88</v>
      </c>
      <c r="B35" s="158">
        <f t="shared" si="9"/>
        <v>360000</v>
      </c>
      <c r="C35" s="140">
        <v>30000</v>
      </c>
      <c r="D35" s="62">
        <v>30000</v>
      </c>
      <c r="E35" s="62">
        <v>30000</v>
      </c>
      <c r="F35" s="62">
        <v>30000</v>
      </c>
      <c r="G35" s="62">
        <v>30000</v>
      </c>
      <c r="H35" s="62">
        <v>30000</v>
      </c>
      <c r="I35" s="62">
        <v>30000</v>
      </c>
      <c r="J35" s="62">
        <v>30000</v>
      </c>
      <c r="K35" s="62">
        <v>30000</v>
      </c>
      <c r="L35" s="62">
        <v>30000</v>
      </c>
      <c r="M35" s="62">
        <v>30000</v>
      </c>
      <c r="N35" s="62">
        <v>30000</v>
      </c>
    </row>
    <row r="36" spans="1:14" ht="16">
      <c r="A36" s="124" t="s">
        <v>89</v>
      </c>
      <c r="B36" s="158">
        <f t="shared" si="9"/>
        <v>510000</v>
      </c>
      <c r="C36" s="140"/>
      <c r="D36" s="91"/>
      <c r="E36" s="91">
        <v>10000</v>
      </c>
      <c r="F36" s="91">
        <v>20000</v>
      </c>
      <c r="G36" s="91">
        <v>380000</v>
      </c>
      <c r="H36" s="91">
        <v>20000</v>
      </c>
      <c r="I36" s="97">
        <v>20000</v>
      </c>
      <c r="J36" s="91">
        <v>20000</v>
      </c>
      <c r="K36" s="91">
        <v>20000</v>
      </c>
      <c r="L36" s="91">
        <v>20000</v>
      </c>
      <c r="M36" s="91"/>
      <c r="N36" s="91"/>
    </row>
    <row r="37" spans="1:14" ht="15">
      <c r="A37" s="125" t="s">
        <v>90</v>
      </c>
      <c r="B37" s="158">
        <f t="shared" si="9"/>
        <v>0</v>
      </c>
      <c r="C37" s="140"/>
      <c r="D37" s="93"/>
      <c r="E37" s="93"/>
      <c r="F37" s="93"/>
      <c r="G37" s="93"/>
      <c r="H37" s="93"/>
      <c r="I37" s="62"/>
      <c r="J37" s="93"/>
      <c r="K37" s="93"/>
      <c r="L37" s="62"/>
      <c r="M37" s="93"/>
      <c r="N37" s="93"/>
    </row>
    <row r="38" spans="1:14" ht="16">
      <c r="A38" s="118" t="s">
        <v>91</v>
      </c>
      <c r="B38" s="158">
        <f t="shared" si="9"/>
        <v>2568000</v>
      </c>
      <c r="C38" s="143">
        <v>214000</v>
      </c>
      <c r="D38" s="82">
        <v>214000</v>
      </c>
      <c r="E38" s="82">
        <v>214000</v>
      </c>
      <c r="F38" s="82">
        <v>214000</v>
      </c>
      <c r="G38" s="82">
        <v>214000</v>
      </c>
      <c r="H38" s="82">
        <v>214000</v>
      </c>
      <c r="I38" s="82">
        <v>214000</v>
      </c>
      <c r="J38" s="82">
        <v>214000</v>
      </c>
      <c r="K38" s="82">
        <v>214000</v>
      </c>
      <c r="L38" s="82">
        <v>214000</v>
      </c>
      <c r="M38" s="82">
        <v>214000</v>
      </c>
      <c r="N38" s="82">
        <v>214000</v>
      </c>
    </row>
    <row r="39" spans="1:14" ht="16">
      <c r="A39" s="118" t="s">
        <v>92</v>
      </c>
      <c r="B39" s="158">
        <f t="shared" si="9"/>
        <v>290000</v>
      </c>
      <c r="C39" s="135">
        <v>20000</v>
      </c>
      <c r="D39" s="68">
        <v>20000</v>
      </c>
      <c r="E39" s="68">
        <v>40000</v>
      </c>
      <c r="F39" s="68">
        <v>40000</v>
      </c>
      <c r="G39" s="68">
        <v>20000</v>
      </c>
      <c r="H39" s="68">
        <v>20000</v>
      </c>
      <c r="I39" s="68">
        <v>20000</v>
      </c>
      <c r="J39" s="68">
        <v>20000</v>
      </c>
      <c r="K39" s="68">
        <v>30000</v>
      </c>
      <c r="L39" s="68">
        <v>20000</v>
      </c>
      <c r="M39" s="68">
        <v>20000</v>
      </c>
      <c r="N39" s="68">
        <v>20000</v>
      </c>
    </row>
    <row r="40" spans="1:14" ht="16">
      <c r="A40" s="118" t="s">
        <v>93</v>
      </c>
      <c r="B40" s="158">
        <f t="shared" si="9"/>
        <v>560000</v>
      </c>
      <c r="C40" s="143">
        <v>40000</v>
      </c>
      <c r="D40" s="82">
        <v>40000</v>
      </c>
      <c r="E40" s="82">
        <v>40000</v>
      </c>
      <c r="F40" s="82">
        <v>60000</v>
      </c>
      <c r="G40" s="82">
        <v>40000</v>
      </c>
      <c r="H40" s="82">
        <v>40000</v>
      </c>
      <c r="I40" s="82">
        <v>40000</v>
      </c>
      <c r="J40" s="82">
        <v>40000</v>
      </c>
      <c r="K40" s="82">
        <v>60000</v>
      </c>
      <c r="L40" s="82">
        <v>60000</v>
      </c>
      <c r="M40" s="82">
        <v>40000</v>
      </c>
      <c r="N40" s="82">
        <v>60000</v>
      </c>
    </row>
    <row r="41" spans="1:14" ht="17" thickBot="1">
      <c r="A41" s="123" t="s">
        <v>94</v>
      </c>
      <c r="B41" s="158">
        <f t="shared" si="9"/>
        <v>50400</v>
      </c>
      <c r="C41" s="144">
        <v>4200</v>
      </c>
      <c r="D41" s="104">
        <v>4200</v>
      </c>
      <c r="E41" s="104">
        <v>4200</v>
      </c>
      <c r="F41" s="104">
        <v>4200</v>
      </c>
      <c r="G41" s="104">
        <v>4200</v>
      </c>
      <c r="H41" s="104">
        <v>4200</v>
      </c>
      <c r="I41" s="104">
        <v>4200</v>
      </c>
      <c r="J41" s="104">
        <v>4200</v>
      </c>
      <c r="K41" s="104">
        <v>4200</v>
      </c>
      <c r="L41" s="104">
        <v>4200</v>
      </c>
      <c r="M41" s="104">
        <v>4200</v>
      </c>
      <c r="N41" s="104">
        <v>4200</v>
      </c>
    </row>
    <row r="42" spans="1:14" ht="17" thickBot="1">
      <c r="A42" s="126" t="s">
        <v>95</v>
      </c>
      <c r="B42" s="157">
        <f>SUM(C42:N42)</f>
        <v>2283115.27</v>
      </c>
      <c r="C42" s="145">
        <f>18000+30000+12500</f>
        <v>60500</v>
      </c>
      <c r="D42" s="94">
        <f>1457615.27+30000</f>
        <v>1487615.27</v>
      </c>
      <c r="E42" s="94">
        <f>30000+50000</f>
        <v>80000</v>
      </c>
      <c r="F42" s="94">
        <f>30000</f>
        <v>30000</v>
      </c>
      <c r="G42" s="94">
        <f>30000</f>
        <v>30000</v>
      </c>
      <c r="H42" s="94">
        <f>30000+150000</f>
        <v>180000</v>
      </c>
      <c r="I42" s="94">
        <f>30000+235000</f>
        <v>265000</v>
      </c>
      <c r="J42" s="94">
        <f>30000</f>
        <v>30000</v>
      </c>
      <c r="K42" s="94">
        <f>30000</f>
        <v>30000</v>
      </c>
      <c r="L42" s="94">
        <f>30000</f>
        <v>30000</v>
      </c>
      <c r="M42" s="94">
        <f>30000</f>
        <v>30000</v>
      </c>
      <c r="N42" s="103">
        <f>30000</f>
        <v>30000</v>
      </c>
    </row>
    <row r="43" spans="1:14" ht="17" thickBot="1">
      <c r="A43" s="127" t="s">
        <v>96</v>
      </c>
      <c r="B43" s="159">
        <f>SUM(C43:N43)</f>
        <v>800000</v>
      </c>
      <c r="C43" s="146"/>
      <c r="D43" s="105"/>
      <c r="E43" s="105"/>
      <c r="F43" s="105"/>
      <c r="G43" s="105"/>
      <c r="H43" s="105"/>
      <c r="I43" s="106"/>
      <c r="J43" s="108">
        <v>800000</v>
      </c>
      <c r="K43" s="105"/>
      <c r="L43" s="106"/>
      <c r="M43" s="105"/>
      <c r="N43" s="105"/>
    </row>
    <row r="44" spans="1:14" ht="16" thickBot="1">
      <c r="A44" s="122" t="s">
        <v>97</v>
      </c>
      <c r="B44" s="157">
        <f t="shared" ref="B44:N44" si="10">SUM(B45:B50)</f>
        <v>12168200</v>
      </c>
      <c r="C44" s="138">
        <f t="shared" si="10"/>
        <v>976600</v>
      </c>
      <c r="D44" s="94">
        <f t="shared" si="10"/>
        <v>976600</v>
      </c>
      <c r="E44" s="94">
        <f t="shared" si="10"/>
        <v>976600</v>
      </c>
      <c r="F44" s="94">
        <f t="shared" si="10"/>
        <v>1413600</v>
      </c>
      <c r="G44" s="94">
        <f t="shared" si="10"/>
        <v>985600</v>
      </c>
      <c r="H44" s="94">
        <f t="shared" si="10"/>
        <v>985600</v>
      </c>
      <c r="I44" s="94">
        <f t="shared" si="10"/>
        <v>985600</v>
      </c>
      <c r="J44" s="94">
        <f t="shared" si="10"/>
        <v>973600</v>
      </c>
      <c r="K44" s="94">
        <f t="shared" si="10"/>
        <v>973600</v>
      </c>
      <c r="L44" s="94">
        <f t="shared" si="10"/>
        <v>973600</v>
      </c>
      <c r="M44" s="94">
        <f t="shared" si="10"/>
        <v>973600</v>
      </c>
      <c r="N44" s="103">
        <f t="shared" si="10"/>
        <v>973600</v>
      </c>
    </row>
    <row r="45" spans="1:14" ht="16">
      <c r="A45" s="128" t="s">
        <v>98</v>
      </c>
      <c r="B45" s="160">
        <f t="shared" ref="B45:B50" si="11">SUM(C45:N45)</f>
        <v>11165000</v>
      </c>
      <c r="C45" s="139">
        <v>893000</v>
      </c>
      <c r="D45" s="91">
        <v>893000</v>
      </c>
      <c r="E45" s="91">
        <v>893000</v>
      </c>
      <c r="F45" s="91">
        <f>1070000+260000</f>
        <v>1330000</v>
      </c>
      <c r="G45" s="91">
        <f>890000+12000</f>
        <v>902000</v>
      </c>
      <c r="H45" s="91">
        <f>890000+12000</f>
        <v>902000</v>
      </c>
      <c r="I45" s="91">
        <f>890000+12000</f>
        <v>902000</v>
      </c>
      <c r="J45" s="91">
        <v>890000</v>
      </c>
      <c r="K45" s="91">
        <v>890000</v>
      </c>
      <c r="L45" s="91">
        <v>890000</v>
      </c>
      <c r="M45" s="91">
        <v>890000</v>
      </c>
      <c r="N45" s="91">
        <v>890000</v>
      </c>
    </row>
    <row r="46" spans="1:14" ht="16">
      <c r="A46" s="128" t="s">
        <v>99</v>
      </c>
      <c r="B46" s="155">
        <f t="shared" si="11"/>
        <v>132000</v>
      </c>
      <c r="C46" s="147">
        <v>11000</v>
      </c>
      <c r="D46" s="97">
        <v>11000</v>
      </c>
      <c r="E46" s="97">
        <v>11000</v>
      </c>
      <c r="F46" s="97">
        <v>11000</v>
      </c>
      <c r="G46" s="97">
        <v>11000</v>
      </c>
      <c r="H46" s="97">
        <v>11000</v>
      </c>
      <c r="I46" s="97">
        <v>11000</v>
      </c>
      <c r="J46" s="97">
        <v>11000</v>
      </c>
      <c r="K46" s="97">
        <v>11000</v>
      </c>
      <c r="L46" s="97">
        <v>11000</v>
      </c>
      <c r="M46" s="97">
        <v>11000</v>
      </c>
      <c r="N46" s="97">
        <v>11000</v>
      </c>
    </row>
    <row r="47" spans="1:14" ht="16">
      <c r="A47" s="129" t="s">
        <v>100</v>
      </c>
      <c r="B47" s="155">
        <f t="shared" si="11"/>
        <v>91200</v>
      </c>
      <c r="C47" s="147">
        <v>7600</v>
      </c>
      <c r="D47" s="97">
        <v>7600</v>
      </c>
      <c r="E47" s="97">
        <v>7600</v>
      </c>
      <c r="F47" s="97">
        <v>7600</v>
      </c>
      <c r="G47" s="97">
        <v>7600</v>
      </c>
      <c r="H47" s="97">
        <v>7600</v>
      </c>
      <c r="I47" s="97">
        <v>7600</v>
      </c>
      <c r="J47" s="97">
        <v>7600</v>
      </c>
      <c r="K47" s="97">
        <v>7600</v>
      </c>
      <c r="L47" s="97">
        <v>7600</v>
      </c>
      <c r="M47" s="97">
        <v>7600</v>
      </c>
      <c r="N47" s="97">
        <v>7600</v>
      </c>
    </row>
    <row r="48" spans="1:14" ht="16">
      <c r="A48" s="128" t="s">
        <v>101</v>
      </c>
      <c r="B48" s="155">
        <f t="shared" si="11"/>
        <v>660000</v>
      </c>
      <c r="C48" s="107">
        <v>55000</v>
      </c>
      <c r="D48" s="69">
        <v>55000</v>
      </c>
      <c r="E48" s="69">
        <v>55000</v>
      </c>
      <c r="F48" s="69">
        <v>55000</v>
      </c>
      <c r="G48" s="69">
        <v>55000</v>
      </c>
      <c r="H48" s="69">
        <v>55000</v>
      </c>
      <c r="I48" s="69">
        <v>55000</v>
      </c>
      <c r="J48" s="69">
        <v>55000</v>
      </c>
      <c r="K48" s="69">
        <v>55000</v>
      </c>
      <c r="L48" s="69">
        <v>55000</v>
      </c>
      <c r="M48" s="69">
        <v>55000</v>
      </c>
      <c r="N48" s="69">
        <v>55000</v>
      </c>
    </row>
    <row r="49" spans="1:14" ht="16">
      <c r="A49" s="129" t="s">
        <v>102</v>
      </c>
      <c r="B49" s="155">
        <f t="shared" si="11"/>
        <v>120000</v>
      </c>
      <c r="C49" s="107">
        <v>10000</v>
      </c>
      <c r="D49" s="69">
        <v>10000</v>
      </c>
      <c r="E49" s="69">
        <v>10000</v>
      </c>
      <c r="F49" s="69">
        <v>10000</v>
      </c>
      <c r="G49" s="69">
        <v>10000</v>
      </c>
      <c r="H49" s="69">
        <v>10000</v>
      </c>
      <c r="I49" s="69">
        <v>10000</v>
      </c>
      <c r="J49" s="69">
        <v>10000</v>
      </c>
      <c r="K49" s="69">
        <v>10000</v>
      </c>
      <c r="L49" s="69">
        <v>10000</v>
      </c>
      <c r="M49" s="69">
        <v>10000</v>
      </c>
      <c r="N49" s="69">
        <v>10000</v>
      </c>
    </row>
    <row r="50" spans="1:14" ht="17" thickBot="1">
      <c r="A50" s="129" t="s">
        <v>103</v>
      </c>
      <c r="B50" s="156">
        <f t="shared" si="11"/>
        <v>0</v>
      </c>
      <c r="C50" s="148"/>
      <c r="D50" s="85"/>
      <c r="E50" s="85"/>
      <c r="F50" s="85"/>
      <c r="G50" s="85"/>
      <c r="H50" s="85"/>
      <c r="I50" s="102"/>
      <c r="J50" s="85"/>
      <c r="K50" s="85"/>
      <c r="L50" s="102"/>
      <c r="M50" s="85"/>
      <c r="N50" s="85"/>
    </row>
    <row r="51" spans="1:14" s="42" customFormat="1" ht="16" thickBot="1">
      <c r="A51" s="122" t="s">
        <v>104</v>
      </c>
      <c r="B51" s="157">
        <f t="shared" ref="B51:N51" si="12">SUM(B52:B55)</f>
        <v>570000</v>
      </c>
      <c r="C51" s="138">
        <f t="shared" si="12"/>
        <v>20000</v>
      </c>
      <c r="D51" s="94">
        <f t="shared" si="12"/>
        <v>20000</v>
      </c>
      <c r="E51" s="94">
        <f t="shared" si="12"/>
        <v>20000</v>
      </c>
      <c r="F51" s="94">
        <f t="shared" si="12"/>
        <v>20000</v>
      </c>
      <c r="G51" s="94">
        <f t="shared" si="12"/>
        <v>20000</v>
      </c>
      <c r="H51" s="94">
        <f t="shared" si="12"/>
        <v>210000</v>
      </c>
      <c r="I51" s="94">
        <f t="shared" si="12"/>
        <v>30000</v>
      </c>
      <c r="J51" s="94">
        <f t="shared" si="12"/>
        <v>20000</v>
      </c>
      <c r="K51" s="94">
        <f t="shared" si="12"/>
        <v>70000</v>
      </c>
      <c r="L51" s="94">
        <f t="shared" si="12"/>
        <v>40000</v>
      </c>
      <c r="M51" s="94">
        <f t="shared" si="12"/>
        <v>30000</v>
      </c>
      <c r="N51" s="103">
        <f t="shared" si="12"/>
        <v>70000</v>
      </c>
    </row>
    <row r="52" spans="1:14" ht="33" thickBot="1">
      <c r="A52" s="130" t="s">
        <v>105</v>
      </c>
      <c r="B52" s="158">
        <f>SUM(C52:N52)</f>
        <v>270000</v>
      </c>
      <c r="C52" s="149"/>
      <c r="D52" s="110"/>
      <c r="E52" s="110"/>
      <c r="F52" s="110"/>
      <c r="G52" s="110"/>
      <c r="H52" s="110">
        <v>170000</v>
      </c>
      <c r="I52" s="109"/>
      <c r="J52" s="110"/>
      <c r="K52" s="110">
        <v>50000</v>
      </c>
      <c r="L52" s="109"/>
      <c r="M52" s="110"/>
      <c r="N52" s="110">
        <v>50000</v>
      </c>
    </row>
    <row r="53" spans="1:14" ht="17" thickBot="1">
      <c r="A53" s="131" t="s">
        <v>106</v>
      </c>
      <c r="B53" s="155">
        <f>SUM(C53:N53)</f>
        <v>20000</v>
      </c>
      <c r="C53" s="150"/>
      <c r="D53" s="84"/>
      <c r="E53" s="84"/>
      <c r="F53" s="84"/>
      <c r="G53" s="84"/>
      <c r="H53" s="84"/>
      <c r="I53" s="68">
        <v>10000</v>
      </c>
      <c r="J53" s="68"/>
      <c r="K53" s="68"/>
      <c r="L53" s="68"/>
      <c r="M53" s="68">
        <v>10000</v>
      </c>
      <c r="N53" s="84"/>
    </row>
    <row r="54" spans="1:14" ht="16">
      <c r="A54" s="132" t="s">
        <v>138</v>
      </c>
      <c r="B54" s="155">
        <f>SUM(C54:N54)</f>
        <v>240000</v>
      </c>
      <c r="C54" s="150">
        <v>20000</v>
      </c>
      <c r="D54" s="83">
        <v>20000</v>
      </c>
      <c r="E54" s="83">
        <v>20000</v>
      </c>
      <c r="F54" s="83">
        <v>20000</v>
      </c>
      <c r="G54" s="83">
        <v>20000</v>
      </c>
      <c r="H54" s="83">
        <v>20000</v>
      </c>
      <c r="I54" s="83">
        <v>20000</v>
      </c>
      <c r="J54" s="83">
        <v>20000</v>
      </c>
      <c r="K54" s="83">
        <v>20000</v>
      </c>
      <c r="L54" s="83">
        <v>20000</v>
      </c>
      <c r="M54" s="83">
        <v>20000</v>
      </c>
      <c r="N54" s="83">
        <v>20000</v>
      </c>
    </row>
    <row r="55" spans="1:14" ht="17" thickBot="1">
      <c r="A55" s="129" t="s">
        <v>107</v>
      </c>
      <c r="B55" s="156">
        <f>SUM(C55:N55)</f>
        <v>40000</v>
      </c>
      <c r="C55" s="151"/>
      <c r="D55" s="112"/>
      <c r="E55" s="112"/>
      <c r="F55" s="112"/>
      <c r="G55" s="112"/>
      <c r="H55" s="112">
        <v>20000</v>
      </c>
      <c r="I55" s="111"/>
      <c r="J55" s="112"/>
      <c r="K55" s="112"/>
      <c r="L55" s="111">
        <v>20000</v>
      </c>
      <c r="M55" s="112"/>
      <c r="N55" s="112"/>
    </row>
    <row r="56" spans="1:14" ht="16" thickBot="1">
      <c r="A56" s="122" t="s">
        <v>108</v>
      </c>
      <c r="B56" s="157">
        <f>SUM(B57:B60)</f>
        <v>421000</v>
      </c>
      <c r="C56" s="138">
        <f t="shared" ref="C56:N56" si="13">SUM(C57:C60)</f>
        <v>0</v>
      </c>
      <c r="D56" s="95">
        <f t="shared" si="13"/>
        <v>0</v>
      </c>
      <c r="E56" s="95">
        <f t="shared" si="13"/>
        <v>0</v>
      </c>
      <c r="F56" s="95">
        <f t="shared" si="13"/>
        <v>73000</v>
      </c>
      <c r="G56" s="95">
        <f t="shared" si="13"/>
        <v>78000</v>
      </c>
      <c r="H56" s="95">
        <f t="shared" si="13"/>
        <v>45000</v>
      </c>
      <c r="I56" s="95">
        <f t="shared" si="13"/>
        <v>55000</v>
      </c>
      <c r="J56" s="95">
        <f t="shared" si="13"/>
        <v>25000</v>
      </c>
      <c r="K56" s="95">
        <f t="shared" si="13"/>
        <v>40000</v>
      </c>
      <c r="L56" s="95">
        <f t="shared" si="13"/>
        <v>55000</v>
      </c>
      <c r="M56" s="95">
        <f t="shared" si="13"/>
        <v>25000</v>
      </c>
      <c r="N56" s="95">
        <f t="shared" si="13"/>
        <v>25000</v>
      </c>
    </row>
    <row r="57" spans="1:14" ht="16">
      <c r="A57" s="129" t="s">
        <v>109</v>
      </c>
      <c r="B57" s="158">
        <f t="shared" ref="B57:B62" si="14">SUM(C57:N57)</f>
        <v>107000</v>
      </c>
      <c r="C57" s="149"/>
      <c r="D57" s="110"/>
      <c r="E57" s="110"/>
      <c r="F57" s="110">
        <v>27000</v>
      </c>
      <c r="G57" s="110">
        <v>20000</v>
      </c>
      <c r="H57" s="110"/>
      <c r="I57" s="109">
        <v>30000</v>
      </c>
      <c r="J57" s="110"/>
      <c r="K57" s="110"/>
      <c r="L57" s="109">
        <v>30000</v>
      </c>
      <c r="M57" s="110"/>
      <c r="N57" s="110"/>
    </row>
    <row r="58" spans="1:14" ht="16">
      <c r="A58" s="129" t="s">
        <v>110</v>
      </c>
      <c r="B58" s="155">
        <f t="shared" si="14"/>
        <v>148000</v>
      </c>
      <c r="C58" s="150"/>
      <c r="D58" s="84"/>
      <c r="E58" s="84"/>
      <c r="F58" s="84"/>
      <c r="G58" s="84">
        <v>28000</v>
      </c>
      <c r="H58" s="84">
        <v>15000</v>
      </c>
      <c r="I58" s="84">
        <v>15000</v>
      </c>
      <c r="J58" s="84">
        <v>15000</v>
      </c>
      <c r="K58" s="84">
        <v>30000</v>
      </c>
      <c r="L58" s="84">
        <v>15000</v>
      </c>
      <c r="M58" s="84">
        <v>15000</v>
      </c>
      <c r="N58" s="84">
        <v>15000</v>
      </c>
    </row>
    <row r="59" spans="1:14" ht="16">
      <c r="A59" s="129" t="s">
        <v>111</v>
      </c>
      <c r="B59" s="155">
        <f t="shared" si="14"/>
        <v>126000</v>
      </c>
      <c r="C59" s="150"/>
      <c r="D59" s="84"/>
      <c r="E59" s="84"/>
      <c r="F59" s="84">
        <v>46000</v>
      </c>
      <c r="G59" s="84">
        <v>10000</v>
      </c>
      <c r="H59" s="84">
        <v>10000</v>
      </c>
      <c r="I59" s="84">
        <v>10000</v>
      </c>
      <c r="J59" s="84">
        <v>10000</v>
      </c>
      <c r="K59" s="84">
        <v>10000</v>
      </c>
      <c r="L59" s="84">
        <v>10000</v>
      </c>
      <c r="M59" s="84">
        <v>10000</v>
      </c>
      <c r="N59" s="84">
        <v>10000</v>
      </c>
    </row>
    <row r="60" spans="1:14" ht="17" thickBot="1">
      <c r="A60" s="119" t="s">
        <v>112</v>
      </c>
      <c r="B60" s="155">
        <f t="shared" si="14"/>
        <v>40000</v>
      </c>
      <c r="C60" s="150"/>
      <c r="D60" s="84"/>
      <c r="E60" s="84"/>
      <c r="F60" s="84"/>
      <c r="G60" s="84">
        <v>20000</v>
      </c>
      <c r="H60" s="84">
        <v>20000</v>
      </c>
      <c r="I60" s="83"/>
      <c r="J60" s="84"/>
      <c r="K60" s="84"/>
      <c r="L60" s="83"/>
      <c r="M60" s="84"/>
      <c r="N60" s="84"/>
    </row>
    <row r="61" spans="1:14" s="163" customFormat="1" ht="17" thickBot="1">
      <c r="A61" s="121" t="s">
        <v>113</v>
      </c>
      <c r="B61" s="155">
        <f t="shared" si="14"/>
        <v>651048</v>
      </c>
      <c r="C61" s="161">
        <v>162762</v>
      </c>
      <c r="D61" s="162"/>
      <c r="E61" s="162"/>
      <c r="F61" s="162">
        <v>162762</v>
      </c>
      <c r="G61" s="162"/>
      <c r="H61" s="162"/>
      <c r="I61" s="162">
        <v>162762</v>
      </c>
      <c r="J61" s="162"/>
      <c r="K61" s="162"/>
      <c r="L61" s="162">
        <v>162762</v>
      </c>
      <c r="M61" s="90"/>
      <c r="N61" s="90"/>
    </row>
    <row r="62" spans="1:14" ht="17" thickBot="1">
      <c r="A62" s="126" t="s">
        <v>114</v>
      </c>
      <c r="B62" s="155">
        <f t="shared" si="14"/>
        <v>0</v>
      </c>
      <c r="C62" s="152"/>
      <c r="D62" s="98"/>
      <c r="E62" s="98"/>
      <c r="F62" s="98"/>
      <c r="G62" s="98"/>
      <c r="H62" s="98"/>
      <c r="I62" s="99"/>
      <c r="J62" s="98"/>
      <c r="K62" s="98"/>
      <c r="L62" s="99"/>
      <c r="M62" s="98"/>
      <c r="N62" s="98"/>
    </row>
    <row r="63" spans="1:14" ht="16" thickBot="1">
      <c r="A63" s="122" t="s">
        <v>55</v>
      </c>
      <c r="B63" s="155">
        <f>SUM(B64:B66)</f>
        <v>1623481.6000000003</v>
      </c>
      <c r="C63" s="100">
        <f t="shared" ref="C63:N63" si="15">SUM(C64)</f>
        <v>101956.8</v>
      </c>
      <c r="D63" s="90">
        <f t="shared" si="15"/>
        <v>101956.8</v>
      </c>
      <c r="E63" s="90">
        <f t="shared" si="15"/>
        <v>101956.8</v>
      </c>
      <c r="F63" s="90">
        <f t="shared" si="15"/>
        <v>101956.8</v>
      </c>
      <c r="G63" s="90">
        <f t="shared" si="15"/>
        <v>101956.8</v>
      </c>
      <c r="H63" s="90">
        <f t="shared" si="15"/>
        <v>101956.8</v>
      </c>
      <c r="I63" s="90">
        <f t="shared" si="15"/>
        <v>101956.8</v>
      </c>
      <c r="J63" s="90">
        <f t="shared" si="15"/>
        <v>101956.8</v>
      </c>
      <c r="K63" s="90">
        <f t="shared" si="15"/>
        <v>101956.8</v>
      </c>
      <c r="L63" s="90">
        <f t="shared" si="15"/>
        <v>101956.8</v>
      </c>
      <c r="M63" s="90">
        <f t="shared" si="15"/>
        <v>101956.8</v>
      </c>
      <c r="N63" s="90">
        <f t="shared" si="15"/>
        <v>101956.8</v>
      </c>
    </row>
    <row r="64" spans="1:14" ht="17" thickBot="1">
      <c r="A64" s="133" t="s">
        <v>115</v>
      </c>
      <c r="B64" s="155">
        <f t="shared" ref="B64:B71" si="16">SUM(C64:N64)</f>
        <v>1223481.6000000003</v>
      </c>
      <c r="C64" s="153">
        <f t="shared" ref="C64:N64" si="17">101956.8</f>
        <v>101956.8</v>
      </c>
      <c r="D64" s="84">
        <f t="shared" si="17"/>
        <v>101956.8</v>
      </c>
      <c r="E64" s="84">
        <f t="shared" si="17"/>
        <v>101956.8</v>
      </c>
      <c r="F64" s="84">
        <f t="shared" si="17"/>
        <v>101956.8</v>
      </c>
      <c r="G64" s="84">
        <f t="shared" si="17"/>
        <v>101956.8</v>
      </c>
      <c r="H64" s="84">
        <f t="shared" si="17"/>
        <v>101956.8</v>
      </c>
      <c r="I64" s="84">
        <f t="shared" si="17"/>
        <v>101956.8</v>
      </c>
      <c r="J64" s="84">
        <f t="shared" si="17"/>
        <v>101956.8</v>
      </c>
      <c r="K64" s="84">
        <f t="shared" si="17"/>
        <v>101956.8</v>
      </c>
      <c r="L64" s="84">
        <f t="shared" si="17"/>
        <v>101956.8</v>
      </c>
      <c r="M64" s="84">
        <f t="shared" si="17"/>
        <v>101956.8</v>
      </c>
      <c r="N64" s="84">
        <f t="shared" si="17"/>
        <v>101956.8</v>
      </c>
    </row>
    <row r="65" spans="1:14" ht="17" thickBot="1">
      <c r="A65" s="133" t="s">
        <v>139</v>
      </c>
      <c r="B65" s="155">
        <f t="shared" si="16"/>
        <v>250000</v>
      </c>
      <c r="C65" s="107"/>
      <c r="D65" s="107"/>
      <c r="E65" s="107"/>
      <c r="F65" s="107"/>
      <c r="G65" s="84">
        <v>80000</v>
      </c>
      <c r="H65" s="84">
        <v>50000</v>
      </c>
      <c r="I65" s="84">
        <v>20000</v>
      </c>
      <c r="J65" s="84">
        <v>20000</v>
      </c>
      <c r="K65" s="84">
        <v>20000</v>
      </c>
      <c r="L65" s="84">
        <v>20000</v>
      </c>
      <c r="M65" s="84">
        <v>20000</v>
      </c>
      <c r="N65" s="84">
        <v>20000</v>
      </c>
    </row>
    <row r="66" spans="1:14" ht="17" thickBot="1">
      <c r="A66" s="131" t="s">
        <v>137</v>
      </c>
      <c r="B66" s="155">
        <f t="shared" si="16"/>
        <v>150000</v>
      </c>
      <c r="C66" s="107"/>
      <c r="D66" s="107"/>
      <c r="E66" s="107"/>
      <c r="F66" s="107"/>
      <c r="G66" s="107"/>
      <c r="H66" s="84">
        <v>150000</v>
      </c>
      <c r="I66" s="84"/>
      <c r="J66" s="84"/>
      <c r="K66" s="84"/>
      <c r="L66" s="84"/>
      <c r="M66" s="84"/>
      <c r="N66" s="84"/>
    </row>
    <row r="67" spans="1:14" ht="16" thickBot="1">
      <c r="A67" s="122" t="s">
        <v>116</v>
      </c>
      <c r="B67" s="155">
        <f t="shared" si="16"/>
        <v>424700</v>
      </c>
      <c r="C67" s="100">
        <f t="shared" ref="C67:N67" si="18">SUM(C68:C71)</f>
        <v>20700</v>
      </c>
      <c r="D67" s="100">
        <f t="shared" si="18"/>
        <v>8400</v>
      </c>
      <c r="E67" s="100">
        <f t="shared" si="18"/>
        <v>25200</v>
      </c>
      <c r="F67" s="100">
        <f t="shared" si="18"/>
        <v>20600</v>
      </c>
      <c r="G67" s="100">
        <f t="shared" si="18"/>
        <v>68400</v>
      </c>
      <c r="H67" s="100">
        <f t="shared" si="18"/>
        <v>65200</v>
      </c>
      <c r="I67" s="100">
        <f t="shared" si="18"/>
        <v>27300</v>
      </c>
      <c r="J67" s="100">
        <f t="shared" si="18"/>
        <v>48400</v>
      </c>
      <c r="K67" s="100">
        <f t="shared" si="18"/>
        <v>41000</v>
      </c>
      <c r="L67" s="100">
        <f t="shared" si="18"/>
        <v>25900</v>
      </c>
      <c r="M67" s="100">
        <f t="shared" si="18"/>
        <v>48400</v>
      </c>
      <c r="N67" s="100">
        <f t="shared" si="18"/>
        <v>25200</v>
      </c>
    </row>
    <row r="68" spans="1:14" ht="17" thickBot="1">
      <c r="A68" s="131" t="s">
        <v>135</v>
      </c>
      <c r="B68" s="155">
        <f t="shared" si="16"/>
        <v>180000</v>
      </c>
      <c r="C68" s="150"/>
      <c r="D68" s="84"/>
      <c r="E68" s="84"/>
      <c r="F68" s="84"/>
      <c r="G68" s="84">
        <v>60000</v>
      </c>
      <c r="H68" s="84">
        <v>40000</v>
      </c>
      <c r="I68" s="84"/>
      <c r="J68" s="84">
        <v>40000</v>
      </c>
      <c r="K68" s="84"/>
      <c r="L68" s="84"/>
      <c r="M68" s="84">
        <v>40000</v>
      </c>
      <c r="N68" s="84"/>
    </row>
    <row r="69" spans="1:14" ht="17" thickBot="1">
      <c r="A69" s="131" t="s">
        <v>117</v>
      </c>
      <c r="B69" s="155">
        <f t="shared" si="16"/>
        <v>60900</v>
      </c>
      <c r="C69" s="107">
        <v>12300</v>
      </c>
      <c r="D69" s="68"/>
      <c r="E69" s="68"/>
      <c r="F69" s="68">
        <v>12200</v>
      </c>
      <c r="G69" s="68"/>
      <c r="H69" s="68"/>
      <c r="I69" s="69">
        <v>18900</v>
      </c>
      <c r="J69" s="68"/>
      <c r="K69" s="68"/>
      <c r="L69" s="69">
        <v>17500</v>
      </c>
      <c r="M69" s="68"/>
      <c r="N69" s="68"/>
    </row>
    <row r="70" spans="1:14" ht="17" thickBot="1">
      <c r="A70" s="131" t="s">
        <v>118</v>
      </c>
      <c r="B70" s="155">
        <f t="shared" si="16"/>
        <v>0</v>
      </c>
      <c r="C70" s="107"/>
      <c r="D70" s="68"/>
      <c r="E70" s="68"/>
      <c r="F70" s="68"/>
      <c r="G70" s="68"/>
      <c r="H70" s="68"/>
      <c r="I70" s="69"/>
      <c r="J70" s="68"/>
      <c r="K70" s="68"/>
      <c r="L70" s="69"/>
      <c r="M70" s="68"/>
      <c r="N70" s="68"/>
    </row>
    <row r="71" spans="1:14" ht="17" thickBot="1">
      <c r="A71" s="131" t="s">
        <v>119</v>
      </c>
      <c r="B71" s="155">
        <f t="shared" si="16"/>
        <v>183800</v>
      </c>
      <c r="C71" s="150">
        <v>8400</v>
      </c>
      <c r="D71" s="83">
        <v>8400</v>
      </c>
      <c r="E71" s="83">
        <v>25200</v>
      </c>
      <c r="F71" s="83">
        <v>8400</v>
      </c>
      <c r="G71" s="83">
        <v>8400</v>
      </c>
      <c r="H71" s="83">
        <v>25200</v>
      </c>
      <c r="I71" s="83">
        <v>8400</v>
      </c>
      <c r="J71" s="83">
        <v>8400</v>
      </c>
      <c r="K71" s="83">
        <v>41000</v>
      </c>
      <c r="L71" s="83">
        <v>8400</v>
      </c>
      <c r="M71" s="83">
        <v>8400</v>
      </c>
      <c r="N71" s="83">
        <v>25200</v>
      </c>
    </row>
    <row r="73" spans="1:14">
      <c r="B73" s="164">
        <f>B67+B63+B56+B61+B62+B51+B44+B42+B31+B27+B20+B3+B43</f>
        <v>64924370.80103448</v>
      </c>
      <c r="C73" s="164">
        <f t="shared" ref="C73:N73" si="19">C67+C63+C56+C61+C62+C51+C44+C42+C31+C27+C20+C3+C43</f>
        <v>5348337.6275862064</v>
      </c>
      <c r="D73" s="164">
        <f t="shared" si="19"/>
        <v>6201390.8975862069</v>
      </c>
      <c r="E73" s="164">
        <f t="shared" si="19"/>
        <v>4821575.6275862064</v>
      </c>
      <c r="F73" s="164">
        <f t="shared" si="19"/>
        <v>5953737.6275862064</v>
      </c>
      <c r="G73" s="164">
        <f t="shared" si="19"/>
        <v>5752775.6275862064</v>
      </c>
      <c r="H73" s="164">
        <f t="shared" si="19"/>
        <v>5069575.6275862064</v>
      </c>
      <c r="I73" s="164">
        <f t="shared" si="19"/>
        <v>5362437.6275862064</v>
      </c>
      <c r="J73" s="164">
        <f t="shared" si="19"/>
        <v>5786775.6275862064</v>
      </c>
      <c r="K73" s="164">
        <f t="shared" si="19"/>
        <v>5284375.6275862064</v>
      </c>
      <c r="L73" s="164">
        <f t="shared" si="19"/>
        <v>5291037.6275862064</v>
      </c>
      <c r="M73" s="164">
        <f t="shared" si="19"/>
        <v>4725775.6275862064</v>
      </c>
      <c r="N73" s="164">
        <f t="shared" si="19"/>
        <v>4746575.6275862064</v>
      </c>
    </row>
  </sheetData>
  <autoFilter ref="B2:B71" xr:uid="{00000000-0009-0000-0000-00000D000000}"/>
  <sortState xmlns:xlrd2="http://schemas.microsoft.com/office/spreadsheetml/2017/richdata2" ref="A1:B31">
    <sortCondition ref="A1"/>
  </sortState>
  <hyperlinks>
    <hyperlink ref="A1" location="Бюджет" display="Бюджет" xr:uid="{00000000-0004-0000-0D00-000000000000}"/>
  </hyperlinks>
  <pageMargins left="0.75" right="0.75" top="1" bottom="1" header="0.5" footer="0.5"/>
  <pageSetup paperSize="9" scale="69" orientation="landscape" horizontalDpi="1200" verticalDpi="1200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60"/>
  <sheetViews>
    <sheetView zoomScaleNormal="100" workbookViewId="0">
      <selection activeCell="B43" sqref="B43"/>
    </sheetView>
  </sheetViews>
  <sheetFormatPr baseColWidth="10" defaultColWidth="8.83203125" defaultRowHeight="15"/>
  <cols>
    <col min="1" max="1" width="51" customWidth="1"/>
    <col min="2" max="8" width="14.6640625" bestFit="1" customWidth="1"/>
    <col min="9" max="9" width="14.6640625" style="238" bestFit="1" customWidth="1"/>
    <col min="10" max="13" width="14.6640625" bestFit="1" customWidth="1"/>
    <col min="14" max="14" width="17.5" customWidth="1"/>
  </cols>
  <sheetData>
    <row r="1" spans="1:14">
      <c r="A1" s="237" t="s">
        <v>206</v>
      </c>
      <c r="B1" s="238"/>
      <c r="C1" s="238"/>
      <c r="D1" s="238"/>
      <c r="E1" s="238"/>
      <c r="F1" s="238"/>
      <c r="G1" s="238"/>
      <c r="H1" s="238"/>
      <c r="J1" s="238"/>
      <c r="K1" s="238"/>
      <c r="L1" s="238"/>
      <c r="M1" s="238"/>
    </row>
    <row r="2" spans="1:14">
      <c r="A2" s="237"/>
      <c r="B2" s="238"/>
      <c r="C2" s="238"/>
      <c r="D2" s="238"/>
      <c r="E2" s="238"/>
      <c r="F2" s="238"/>
      <c r="G2" s="273" t="s">
        <v>141</v>
      </c>
      <c r="H2" s="238"/>
      <c r="J2" s="238"/>
      <c r="K2" s="238"/>
      <c r="L2" s="238"/>
      <c r="M2" s="238"/>
    </row>
    <row r="3" spans="1:14">
      <c r="A3" s="237"/>
      <c r="B3" s="238"/>
      <c r="C3" s="238"/>
      <c r="D3" s="238"/>
      <c r="E3" s="238"/>
      <c r="F3" s="238"/>
      <c r="G3" s="238"/>
      <c r="H3" s="238"/>
      <c r="J3" s="238"/>
      <c r="K3" s="238"/>
      <c r="L3" s="238"/>
      <c r="M3" s="238"/>
    </row>
    <row r="4" spans="1:14" ht="18">
      <c r="A4" s="249" t="s">
        <v>678</v>
      </c>
      <c r="B4" s="238"/>
      <c r="C4" s="238"/>
      <c r="D4" s="238"/>
      <c r="E4" s="238"/>
      <c r="F4" s="238"/>
      <c r="G4" s="238"/>
      <c r="H4" s="238"/>
      <c r="J4" s="238"/>
      <c r="K4" s="238"/>
      <c r="L4" s="238"/>
      <c r="M4" s="238"/>
    </row>
    <row r="5" spans="1:14">
      <c r="A5" s="237"/>
      <c r="B5" s="238"/>
      <c r="C5" s="238"/>
      <c r="D5" s="238"/>
      <c r="E5" s="238"/>
      <c r="F5" s="238"/>
      <c r="G5" s="238"/>
      <c r="H5" s="238"/>
      <c r="J5" s="238"/>
      <c r="K5" s="238"/>
      <c r="L5" s="238"/>
      <c r="M5" s="238"/>
    </row>
    <row r="6" spans="1:14" s="2" customFormat="1" ht="15.75" customHeight="1">
      <c r="A6" s="451"/>
      <c r="B6" s="248" t="s">
        <v>63</v>
      </c>
      <c r="C6" s="248" t="s">
        <v>64</v>
      </c>
      <c r="D6" s="248" t="s">
        <v>65</v>
      </c>
      <c r="E6" s="248" t="s">
        <v>66</v>
      </c>
      <c r="F6" s="248" t="s">
        <v>60</v>
      </c>
      <c r="G6" s="248" t="s">
        <v>67</v>
      </c>
      <c r="H6" s="248" t="s">
        <v>68</v>
      </c>
      <c r="I6" s="248" t="s">
        <v>69</v>
      </c>
      <c r="J6" s="248" t="s">
        <v>70</v>
      </c>
      <c r="K6" s="248" t="s">
        <v>71</v>
      </c>
      <c r="L6" s="248" t="s">
        <v>72</v>
      </c>
      <c r="M6" s="248" t="s">
        <v>73</v>
      </c>
      <c r="N6" s="503" t="s">
        <v>668</v>
      </c>
    </row>
    <row r="7" spans="1:14" ht="16">
      <c r="A7" s="232"/>
      <c r="B7" s="64">
        <f>SUM(B8,B22,B25,B31,B37,B56)</f>
        <v>3515345</v>
      </c>
      <c r="C7" s="64">
        <f>SUM(C8,C22,C25,C31,C37,C56)</f>
        <v>3295345</v>
      </c>
      <c r="D7" s="64">
        <f t="shared" ref="D7:M7" si="0">SUM(D8,D22,D25,D31,D37,D56)</f>
        <v>3145345</v>
      </c>
      <c r="E7" s="64">
        <f t="shared" si="0"/>
        <v>3115345</v>
      </c>
      <c r="F7" s="64">
        <f t="shared" si="0"/>
        <v>3205345</v>
      </c>
      <c r="G7" s="64">
        <f t="shared" si="0"/>
        <v>3189345</v>
      </c>
      <c r="H7" s="64">
        <f t="shared" si="0"/>
        <v>3159345</v>
      </c>
      <c r="I7" s="64">
        <f t="shared" si="0"/>
        <v>3159345</v>
      </c>
      <c r="J7" s="64">
        <f t="shared" si="0"/>
        <v>3115345</v>
      </c>
      <c r="K7" s="64">
        <f t="shared" si="0"/>
        <v>3115345</v>
      </c>
      <c r="L7" s="64">
        <f t="shared" si="0"/>
        <v>3145345</v>
      </c>
      <c r="M7" s="64">
        <f t="shared" si="0"/>
        <v>3265345</v>
      </c>
      <c r="N7" s="64">
        <f>SUM(N8,N22,N25,N31,N37,N56)</f>
        <v>38426140</v>
      </c>
    </row>
    <row r="8" spans="1:14" ht="28.5" customHeight="1">
      <c r="A8" s="504" t="s">
        <v>660</v>
      </c>
      <c r="B8" s="501">
        <f t="shared" ref="B8:M8" si="1">SUM(B9:B21)</f>
        <v>1029765</v>
      </c>
      <c r="C8" s="501">
        <f t="shared" si="1"/>
        <v>1029765</v>
      </c>
      <c r="D8" s="501">
        <f t="shared" si="1"/>
        <v>1029765</v>
      </c>
      <c r="E8" s="501">
        <f t="shared" si="1"/>
        <v>1029765</v>
      </c>
      <c r="F8" s="501">
        <f t="shared" si="1"/>
        <v>1029765</v>
      </c>
      <c r="G8" s="501">
        <f t="shared" si="1"/>
        <v>1029765</v>
      </c>
      <c r="H8" s="501">
        <f t="shared" si="1"/>
        <v>1029765</v>
      </c>
      <c r="I8" s="501">
        <f t="shared" si="1"/>
        <v>1029765</v>
      </c>
      <c r="J8" s="501">
        <f t="shared" si="1"/>
        <v>1029765</v>
      </c>
      <c r="K8" s="501">
        <f t="shared" si="1"/>
        <v>1029765</v>
      </c>
      <c r="L8" s="501">
        <f t="shared" si="1"/>
        <v>1029765</v>
      </c>
      <c r="M8" s="501">
        <f t="shared" si="1"/>
        <v>1029765</v>
      </c>
      <c r="N8" s="501">
        <f>SUM(B8:M8)</f>
        <v>12357180</v>
      </c>
    </row>
    <row r="9" spans="1:14" ht="15" customHeight="1">
      <c r="A9" s="316" t="s">
        <v>236</v>
      </c>
      <c r="B9" s="538">
        <v>220000</v>
      </c>
      <c r="C9" s="538">
        <v>220000</v>
      </c>
      <c r="D9" s="538">
        <v>220000</v>
      </c>
      <c r="E9" s="538">
        <v>220000</v>
      </c>
      <c r="F9" s="538">
        <v>220000</v>
      </c>
      <c r="G9" s="538">
        <v>220000</v>
      </c>
      <c r="H9" s="538">
        <v>220000</v>
      </c>
      <c r="I9" s="538">
        <v>220000</v>
      </c>
      <c r="J9" s="538">
        <v>220000</v>
      </c>
      <c r="K9" s="538">
        <v>220000</v>
      </c>
      <c r="L9" s="538">
        <v>220000</v>
      </c>
      <c r="M9" s="538">
        <v>220000</v>
      </c>
      <c r="N9" s="64">
        <f t="shared" ref="N9:N20" si="2">SUM(B9:M9)</f>
        <v>2640000</v>
      </c>
    </row>
    <row r="10" spans="1:14" ht="16">
      <c r="A10" s="316" t="s">
        <v>237</v>
      </c>
      <c r="B10" s="538">
        <v>125000</v>
      </c>
      <c r="C10" s="538">
        <v>125000</v>
      </c>
      <c r="D10" s="538">
        <v>125000</v>
      </c>
      <c r="E10" s="538">
        <v>125000</v>
      </c>
      <c r="F10" s="538">
        <v>125000</v>
      </c>
      <c r="G10" s="538">
        <v>125000</v>
      </c>
      <c r="H10" s="538">
        <v>125000</v>
      </c>
      <c r="I10" s="538">
        <v>125000</v>
      </c>
      <c r="J10" s="538">
        <v>125000</v>
      </c>
      <c r="K10" s="538">
        <v>125000</v>
      </c>
      <c r="L10" s="538">
        <v>125000</v>
      </c>
      <c r="M10" s="538">
        <v>125000</v>
      </c>
      <c r="N10" s="64">
        <f t="shared" si="2"/>
        <v>1500000</v>
      </c>
    </row>
    <row r="11" spans="1:14" ht="16">
      <c r="A11" s="316" t="s">
        <v>239</v>
      </c>
      <c r="B11" s="538">
        <v>105000</v>
      </c>
      <c r="C11" s="538">
        <v>105000</v>
      </c>
      <c r="D11" s="538">
        <v>105000</v>
      </c>
      <c r="E11" s="538">
        <v>105000</v>
      </c>
      <c r="F11" s="538">
        <v>105000</v>
      </c>
      <c r="G11" s="538">
        <v>105000</v>
      </c>
      <c r="H11" s="538">
        <v>105000</v>
      </c>
      <c r="I11" s="538">
        <v>105000</v>
      </c>
      <c r="J11" s="538">
        <v>105000</v>
      </c>
      <c r="K11" s="538">
        <v>105000</v>
      </c>
      <c r="L11" s="538">
        <v>105000</v>
      </c>
      <c r="M11" s="538">
        <v>105000</v>
      </c>
      <c r="N11" s="64">
        <f t="shared" si="2"/>
        <v>1260000</v>
      </c>
    </row>
    <row r="12" spans="1:14" ht="16">
      <c r="A12" s="316" t="s">
        <v>666</v>
      </c>
      <c r="B12" s="538">
        <v>70000</v>
      </c>
      <c r="C12" s="538">
        <v>70000</v>
      </c>
      <c r="D12" s="538">
        <v>70000</v>
      </c>
      <c r="E12" s="538">
        <v>70000</v>
      </c>
      <c r="F12" s="538">
        <v>70000</v>
      </c>
      <c r="G12" s="538">
        <v>70000</v>
      </c>
      <c r="H12" s="538">
        <v>70000</v>
      </c>
      <c r="I12" s="538">
        <v>70000</v>
      </c>
      <c r="J12" s="538">
        <v>70000</v>
      </c>
      <c r="K12" s="538">
        <v>70000</v>
      </c>
      <c r="L12" s="538">
        <v>70000</v>
      </c>
      <c r="M12" s="538">
        <v>70000</v>
      </c>
      <c r="N12" s="64">
        <f t="shared" si="2"/>
        <v>840000</v>
      </c>
    </row>
    <row r="13" spans="1:14" ht="16">
      <c r="A13" s="316" t="s">
        <v>240</v>
      </c>
      <c r="B13" s="538">
        <v>140000</v>
      </c>
      <c r="C13" s="538">
        <v>140000</v>
      </c>
      <c r="D13" s="538">
        <v>140000</v>
      </c>
      <c r="E13" s="538">
        <v>140000</v>
      </c>
      <c r="F13" s="538">
        <v>140000</v>
      </c>
      <c r="G13" s="538">
        <v>140000</v>
      </c>
      <c r="H13" s="538">
        <v>140000</v>
      </c>
      <c r="I13" s="538">
        <v>140000</v>
      </c>
      <c r="J13" s="538">
        <v>140000</v>
      </c>
      <c r="K13" s="538">
        <v>140000</v>
      </c>
      <c r="L13" s="538">
        <v>140000</v>
      </c>
      <c r="M13" s="538">
        <v>140000</v>
      </c>
      <c r="N13" s="64">
        <f t="shared" si="2"/>
        <v>1680000</v>
      </c>
    </row>
    <row r="14" spans="1:14" ht="16">
      <c r="A14" s="316" t="s">
        <v>241</v>
      </c>
      <c r="B14" s="538">
        <v>90000</v>
      </c>
      <c r="C14" s="538">
        <v>90000</v>
      </c>
      <c r="D14" s="538">
        <v>90000</v>
      </c>
      <c r="E14" s="538">
        <v>90000</v>
      </c>
      <c r="F14" s="538">
        <v>90000</v>
      </c>
      <c r="G14" s="538">
        <v>90000</v>
      </c>
      <c r="H14" s="538">
        <v>90000</v>
      </c>
      <c r="I14" s="538">
        <v>90000</v>
      </c>
      <c r="J14" s="538">
        <v>90000</v>
      </c>
      <c r="K14" s="538">
        <v>90000</v>
      </c>
      <c r="L14" s="538">
        <v>90000</v>
      </c>
      <c r="M14" s="538">
        <v>90000</v>
      </c>
      <c r="N14" s="64">
        <f t="shared" si="2"/>
        <v>1080000</v>
      </c>
    </row>
    <row r="15" spans="1:14" ht="16">
      <c r="A15" s="316" t="s">
        <v>250</v>
      </c>
      <c r="B15" s="538">
        <v>6405</v>
      </c>
      <c r="C15" s="538">
        <v>6405</v>
      </c>
      <c r="D15" s="538">
        <v>6405</v>
      </c>
      <c r="E15" s="538">
        <v>6405</v>
      </c>
      <c r="F15" s="538">
        <v>6405</v>
      </c>
      <c r="G15" s="538">
        <v>6405</v>
      </c>
      <c r="H15" s="538">
        <v>6405</v>
      </c>
      <c r="I15" s="538">
        <v>6405</v>
      </c>
      <c r="J15" s="538">
        <v>6405</v>
      </c>
      <c r="K15" s="538">
        <v>6405</v>
      </c>
      <c r="L15" s="538">
        <v>6405</v>
      </c>
      <c r="M15" s="538">
        <v>6405</v>
      </c>
      <c r="N15" s="64">
        <f t="shared" si="2"/>
        <v>76860</v>
      </c>
    </row>
    <row r="16" spans="1:14" ht="16">
      <c r="A16" s="316" t="s">
        <v>244</v>
      </c>
      <c r="B16" s="538">
        <v>42000</v>
      </c>
      <c r="C16" s="538">
        <v>42000</v>
      </c>
      <c r="D16" s="538">
        <v>42000</v>
      </c>
      <c r="E16" s="538">
        <v>42000</v>
      </c>
      <c r="F16" s="538">
        <v>42000</v>
      </c>
      <c r="G16" s="538">
        <v>42000</v>
      </c>
      <c r="H16" s="538">
        <v>42000</v>
      </c>
      <c r="I16" s="538">
        <v>42000</v>
      </c>
      <c r="J16" s="538">
        <v>42000</v>
      </c>
      <c r="K16" s="538">
        <v>42000</v>
      </c>
      <c r="L16" s="538">
        <v>42000</v>
      </c>
      <c r="M16" s="538">
        <v>42000</v>
      </c>
      <c r="N16" s="64">
        <f t="shared" si="2"/>
        <v>504000</v>
      </c>
    </row>
    <row r="17" spans="1:14" ht="16">
      <c r="A17" s="316" t="s">
        <v>244</v>
      </c>
      <c r="B17" s="538">
        <v>42000</v>
      </c>
      <c r="C17" s="538">
        <v>42000</v>
      </c>
      <c r="D17" s="538">
        <v>42000</v>
      </c>
      <c r="E17" s="538">
        <v>42000</v>
      </c>
      <c r="F17" s="538">
        <v>42000</v>
      </c>
      <c r="G17" s="538">
        <v>42000</v>
      </c>
      <c r="H17" s="538">
        <v>42000</v>
      </c>
      <c r="I17" s="538">
        <v>42000</v>
      </c>
      <c r="J17" s="538">
        <v>42000</v>
      </c>
      <c r="K17" s="538">
        <v>42000</v>
      </c>
      <c r="L17" s="538">
        <v>42000</v>
      </c>
      <c r="M17" s="538">
        <v>42000</v>
      </c>
      <c r="N17" s="64">
        <f t="shared" si="2"/>
        <v>504000</v>
      </c>
    </row>
    <row r="18" spans="1:14" ht="16">
      <c r="A18" s="316" t="s">
        <v>251</v>
      </c>
      <c r="B18" s="538">
        <v>12900</v>
      </c>
      <c r="C18" s="538">
        <v>12900</v>
      </c>
      <c r="D18" s="538">
        <v>12900</v>
      </c>
      <c r="E18" s="538">
        <v>12900</v>
      </c>
      <c r="F18" s="538">
        <v>12900</v>
      </c>
      <c r="G18" s="538">
        <v>12900</v>
      </c>
      <c r="H18" s="538">
        <v>12900</v>
      </c>
      <c r="I18" s="538">
        <v>12900</v>
      </c>
      <c r="J18" s="538">
        <v>12900</v>
      </c>
      <c r="K18" s="538">
        <v>12900</v>
      </c>
      <c r="L18" s="538">
        <v>12900</v>
      </c>
      <c r="M18" s="538">
        <v>12900</v>
      </c>
      <c r="N18" s="64">
        <f t="shared" si="2"/>
        <v>154800</v>
      </c>
    </row>
    <row r="19" spans="1:14" ht="16">
      <c r="A19" s="316" t="s">
        <v>245</v>
      </c>
      <c r="B19" s="538">
        <v>65000</v>
      </c>
      <c r="C19" s="538">
        <v>65000</v>
      </c>
      <c r="D19" s="538">
        <v>65000</v>
      </c>
      <c r="E19" s="538">
        <v>65000</v>
      </c>
      <c r="F19" s="538">
        <v>65000</v>
      </c>
      <c r="G19" s="538">
        <v>65000</v>
      </c>
      <c r="H19" s="538">
        <v>65000</v>
      </c>
      <c r="I19" s="538">
        <v>65000</v>
      </c>
      <c r="J19" s="538">
        <v>65000</v>
      </c>
      <c r="K19" s="538">
        <v>65000</v>
      </c>
      <c r="L19" s="538">
        <v>65000</v>
      </c>
      <c r="M19" s="538">
        <v>65000</v>
      </c>
      <c r="N19" s="64">
        <f t="shared" si="2"/>
        <v>780000</v>
      </c>
    </row>
    <row r="20" spans="1:14" ht="16">
      <c r="A20" s="316" t="s">
        <v>245</v>
      </c>
      <c r="B20" s="538">
        <v>65000</v>
      </c>
      <c r="C20" s="538">
        <v>65000</v>
      </c>
      <c r="D20" s="538">
        <v>65000</v>
      </c>
      <c r="E20" s="538">
        <v>65000</v>
      </c>
      <c r="F20" s="538">
        <v>65000</v>
      </c>
      <c r="G20" s="538">
        <v>65000</v>
      </c>
      <c r="H20" s="538">
        <v>65000</v>
      </c>
      <c r="I20" s="538">
        <v>65000</v>
      </c>
      <c r="J20" s="538">
        <v>65000</v>
      </c>
      <c r="K20" s="538">
        <v>65000</v>
      </c>
      <c r="L20" s="538">
        <v>65000</v>
      </c>
      <c r="M20" s="538">
        <v>65000</v>
      </c>
      <c r="N20" s="64">
        <f t="shared" si="2"/>
        <v>780000</v>
      </c>
    </row>
    <row r="21" spans="1:14" ht="16">
      <c r="A21" s="317" t="s">
        <v>249</v>
      </c>
      <c r="B21" s="538">
        <v>46460</v>
      </c>
      <c r="C21" s="538">
        <v>46460</v>
      </c>
      <c r="D21" s="538">
        <v>46460</v>
      </c>
      <c r="E21" s="538">
        <v>46460</v>
      </c>
      <c r="F21" s="538">
        <v>46460</v>
      </c>
      <c r="G21" s="538">
        <v>46460</v>
      </c>
      <c r="H21" s="538">
        <v>46460</v>
      </c>
      <c r="I21" s="538">
        <v>46460</v>
      </c>
      <c r="J21" s="538">
        <v>46460</v>
      </c>
      <c r="K21" s="538">
        <v>46460</v>
      </c>
      <c r="L21" s="538">
        <v>46460</v>
      </c>
      <c r="M21" s="538">
        <v>46460</v>
      </c>
      <c r="N21" s="64">
        <f>SUM(B21:M21)</f>
        <v>557520</v>
      </c>
    </row>
    <row r="22" spans="1:14" ht="16.5" customHeight="1">
      <c r="A22" s="505" t="s">
        <v>661</v>
      </c>
      <c r="B22" s="502">
        <f>SUM(B23:B24)</f>
        <v>205000</v>
      </c>
      <c r="C22" s="501">
        <f t="shared" ref="C22:M22" si="3">SUM(C23:C24)</f>
        <v>205000</v>
      </c>
      <c r="D22" s="501">
        <f t="shared" si="3"/>
        <v>205000</v>
      </c>
      <c r="E22" s="501">
        <f t="shared" si="3"/>
        <v>205000</v>
      </c>
      <c r="F22" s="501">
        <f t="shared" si="3"/>
        <v>205000</v>
      </c>
      <c r="G22" s="501">
        <f t="shared" si="3"/>
        <v>205000</v>
      </c>
      <c r="H22" s="501">
        <f t="shared" si="3"/>
        <v>205000</v>
      </c>
      <c r="I22" s="501">
        <f t="shared" si="3"/>
        <v>205000</v>
      </c>
      <c r="J22" s="501">
        <f t="shared" si="3"/>
        <v>205000</v>
      </c>
      <c r="K22" s="501">
        <f t="shared" si="3"/>
        <v>205000</v>
      </c>
      <c r="L22" s="501">
        <f t="shared" si="3"/>
        <v>205000</v>
      </c>
      <c r="M22" s="501">
        <f t="shared" si="3"/>
        <v>205000</v>
      </c>
      <c r="N22" s="501">
        <f>SUM(B22:M22)</f>
        <v>2460000</v>
      </c>
    </row>
    <row r="23" spans="1:14" ht="16">
      <c r="A23" s="316" t="s">
        <v>238</v>
      </c>
      <c r="B23" s="538">
        <v>125000</v>
      </c>
      <c r="C23" s="538">
        <v>125000</v>
      </c>
      <c r="D23" s="538">
        <v>125000</v>
      </c>
      <c r="E23" s="538">
        <v>125000</v>
      </c>
      <c r="F23" s="538">
        <v>125000</v>
      </c>
      <c r="G23" s="538">
        <v>125000</v>
      </c>
      <c r="H23" s="538">
        <v>125000</v>
      </c>
      <c r="I23" s="538">
        <v>125000</v>
      </c>
      <c r="J23" s="538">
        <v>125000</v>
      </c>
      <c r="K23" s="538">
        <v>125000</v>
      </c>
      <c r="L23" s="538">
        <v>125000</v>
      </c>
      <c r="M23" s="538">
        <v>125000</v>
      </c>
      <c r="N23" s="64">
        <f t="shared" ref="N23:N24" si="4">SUM(B23:M23)</f>
        <v>1500000</v>
      </c>
    </row>
    <row r="24" spans="1:14" ht="16">
      <c r="A24" s="316" t="s">
        <v>665</v>
      </c>
      <c r="B24" s="538">
        <v>80000</v>
      </c>
      <c r="C24" s="538">
        <v>80000</v>
      </c>
      <c r="D24" s="538">
        <v>80000</v>
      </c>
      <c r="E24" s="538">
        <v>80000</v>
      </c>
      <c r="F24" s="538">
        <v>80000</v>
      </c>
      <c r="G24" s="538">
        <v>80000</v>
      </c>
      <c r="H24" s="538">
        <v>80000</v>
      </c>
      <c r="I24" s="538">
        <v>80000</v>
      </c>
      <c r="J24" s="538">
        <v>80000</v>
      </c>
      <c r="K24" s="538">
        <v>80000</v>
      </c>
      <c r="L24" s="538">
        <v>80000</v>
      </c>
      <c r="M24" s="538">
        <v>80000</v>
      </c>
      <c r="N24" s="64">
        <f t="shared" si="4"/>
        <v>960000</v>
      </c>
    </row>
    <row r="25" spans="1:14" ht="16">
      <c r="A25" s="504" t="s">
        <v>662</v>
      </c>
      <c r="B25" s="501">
        <f>SUM(B26:B30)</f>
        <v>325000</v>
      </c>
      <c r="C25" s="501">
        <f t="shared" ref="C25:M25" si="5">SUM(C26:C30)</f>
        <v>325000</v>
      </c>
      <c r="D25" s="501">
        <f t="shared" si="5"/>
        <v>325000</v>
      </c>
      <c r="E25" s="501">
        <f t="shared" si="5"/>
        <v>325000</v>
      </c>
      <c r="F25" s="501">
        <f t="shared" si="5"/>
        <v>325000</v>
      </c>
      <c r="G25" s="501">
        <f t="shared" si="5"/>
        <v>325000</v>
      </c>
      <c r="H25" s="501">
        <f t="shared" si="5"/>
        <v>325000</v>
      </c>
      <c r="I25" s="501">
        <f t="shared" si="5"/>
        <v>325000</v>
      </c>
      <c r="J25" s="501">
        <f t="shared" si="5"/>
        <v>325000</v>
      </c>
      <c r="K25" s="501">
        <f t="shared" si="5"/>
        <v>325000</v>
      </c>
      <c r="L25" s="501">
        <f t="shared" si="5"/>
        <v>325000</v>
      </c>
      <c r="M25" s="501">
        <f t="shared" si="5"/>
        <v>325000</v>
      </c>
      <c r="N25" s="501">
        <f>SUM(B25:M25)</f>
        <v>3900000</v>
      </c>
    </row>
    <row r="26" spans="1:14" ht="16">
      <c r="A26" s="316" t="s">
        <v>242</v>
      </c>
      <c r="B26" s="538">
        <v>65000</v>
      </c>
      <c r="C26" s="538">
        <v>65000</v>
      </c>
      <c r="D26" s="538">
        <v>65000</v>
      </c>
      <c r="E26" s="538">
        <v>65000</v>
      </c>
      <c r="F26" s="538">
        <v>65000</v>
      </c>
      <c r="G26" s="538">
        <v>65000</v>
      </c>
      <c r="H26" s="538">
        <v>65000</v>
      </c>
      <c r="I26" s="538">
        <v>65000</v>
      </c>
      <c r="J26" s="538">
        <v>65000</v>
      </c>
      <c r="K26" s="538">
        <v>65000</v>
      </c>
      <c r="L26" s="538">
        <v>65000</v>
      </c>
      <c r="M26" s="538">
        <v>65000</v>
      </c>
      <c r="N26" s="64">
        <f t="shared" ref="N26:N30" si="6">SUM(B26:M26)</f>
        <v>780000</v>
      </c>
    </row>
    <row r="27" spans="1:14" ht="16">
      <c r="A27" s="316" t="s">
        <v>242</v>
      </c>
      <c r="B27" s="538">
        <v>65000</v>
      </c>
      <c r="C27" s="538">
        <v>65000</v>
      </c>
      <c r="D27" s="538">
        <v>65000</v>
      </c>
      <c r="E27" s="538">
        <v>65000</v>
      </c>
      <c r="F27" s="538">
        <v>65000</v>
      </c>
      <c r="G27" s="538">
        <v>65000</v>
      </c>
      <c r="H27" s="538">
        <v>65000</v>
      </c>
      <c r="I27" s="538">
        <v>65000</v>
      </c>
      <c r="J27" s="538">
        <v>65000</v>
      </c>
      <c r="K27" s="538">
        <v>65000</v>
      </c>
      <c r="L27" s="538">
        <v>65000</v>
      </c>
      <c r="M27" s="538">
        <v>65000</v>
      </c>
      <c r="N27" s="64">
        <f t="shared" si="6"/>
        <v>780000</v>
      </c>
    </row>
    <row r="28" spans="1:14" ht="16">
      <c r="A28" s="316" t="s">
        <v>242</v>
      </c>
      <c r="B28" s="538">
        <v>65000</v>
      </c>
      <c r="C28" s="538">
        <v>65000</v>
      </c>
      <c r="D28" s="538">
        <v>65000</v>
      </c>
      <c r="E28" s="538">
        <v>65000</v>
      </c>
      <c r="F28" s="538">
        <v>65000</v>
      </c>
      <c r="G28" s="538">
        <v>65000</v>
      </c>
      <c r="H28" s="538">
        <v>65000</v>
      </c>
      <c r="I28" s="538">
        <v>65000</v>
      </c>
      <c r="J28" s="538">
        <v>65000</v>
      </c>
      <c r="K28" s="538">
        <v>65000</v>
      </c>
      <c r="L28" s="538">
        <v>65000</v>
      </c>
      <c r="M28" s="538">
        <v>65000</v>
      </c>
      <c r="N28" s="64">
        <f t="shared" si="6"/>
        <v>780000</v>
      </c>
    </row>
    <row r="29" spans="1:14" ht="16">
      <c r="A29" s="316" t="s">
        <v>242</v>
      </c>
      <c r="B29" s="538">
        <v>65000</v>
      </c>
      <c r="C29" s="538">
        <v>65000</v>
      </c>
      <c r="D29" s="538">
        <v>65000</v>
      </c>
      <c r="E29" s="538">
        <v>65000</v>
      </c>
      <c r="F29" s="538">
        <v>65000</v>
      </c>
      <c r="G29" s="538">
        <v>65000</v>
      </c>
      <c r="H29" s="538">
        <v>65000</v>
      </c>
      <c r="I29" s="538">
        <v>65000</v>
      </c>
      <c r="J29" s="538">
        <v>65000</v>
      </c>
      <c r="K29" s="538">
        <v>65000</v>
      </c>
      <c r="L29" s="538">
        <v>65000</v>
      </c>
      <c r="M29" s="538">
        <v>65000</v>
      </c>
      <c r="N29" s="64">
        <f t="shared" si="6"/>
        <v>780000</v>
      </c>
    </row>
    <row r="30" spans="1:14" ht="16">
      <c r="A30" s="316" t="s">
        <v>242</v>
      </c>
      <c r="B30" s="538">
        <v>65000</v>
      </c>
      <c r="C30" s="538">
        <v>65000</v>
      </c>
      <c r="D30" s="538">
        <v>65000</v>
      </c>
      <c r="E30" s="538">
        <v>65000</v>
      </c>
      <c r="F30" s="538">
        <v>65000</v>
      </c>
      <c r="G30" s="538">
        <v>65000</v>
      </c>
      <c r="H30" s="538">
        <v>65000</v>
      </c>
      <c r="I30" s="538">
        <v>65000</v>
      </c>
      <c r="J30" s="538">
        <v>65000</v>
      </c>
      <c r="K30" s="538">
        <v>65000</v>
      </c>
      <c r="L30" s="538">
        <v>65000</v>
      </c>
      <c r="M30" s="538">
        <v>65000</v>
      </c>
      <c r="N30" s="64">
        <f t="shared" si="6"/>
        <v>780000</v>
      </c>
    </row>
    <row r="31" spans="1:14" ht="16">
      <c r="A31" s="504" t="s">
        <v>663</v>
      </c>
      <c r="B31" s="501">
        <f>SUM(B32:B36)</f>
        <v>325000</v>
      </c>
      <c r="C31" s="501">
        <f t="shared" ref="C31:M31" si="7">SUM(C32:C36)</f>
        <v>325000</v>
      </c>
      <c r="D31" s="501">
        <f t="shared" si="7"/>
        <v>325000</v>
      </c>
      <c r="E31" s="501">
        <f t="shared" si="7"/>
        <v>325000</v>
      </c>
      <c r="F31" s="501">
        <f t="shared" si="7"/>
        <v>325000</v>
      </c>
      <c r="G31" s="501">
        <f t="shared" si="7"/>
        <v>325000</v>
      </c>
      <c r="H31" s="501">
        <f t="shared" si="7"/>
        <v>325000</v>
      </c>
      <c r="I31" s="501">
        <f t="shared" si="7"/>
        <v>325000</v>
      </c>
      <c r="J31" s="501">
        <f t="shared" si="7"/>
        <v>325000</v>
      </c>
      <c r="K31" s="501">
        <f t="shared" si="7"/>
        <v>325000</v>
      </c>
      <c r="L31" s="501">
        <f t="shared" si="7"/>
        <v>325000</v>
      </c>
      <c r="M31" s="501">
        <f t="shared" si="7"/>
        <v>325000</v>
      </c>
      <c r="N31" s="501">
        <f>SUM(B31:M31)</f>
        <v>3900000</v>
      </c>
    </row>
    <row r="32" spans="1:14" ht="16">
      <c r="A32" s="316" t="s">
        <v>243</v>
      </c>
      <c r="B32" s="538">
        <v>65000</v>
      </c>
      <c r="C32" s="538">
        <v>65000</v>
      </c>
      <c r="D32" s="538">
        <v>65000</v>
      </c>
      <c r="E32" s="538">
        <v>65000</v>
      </c>
      <c r="F32" s="538">
        <v>65000</v>
      </c>
      <c r="G32" s="538">
        <v>65000</v>
      </c>
      <c r="H32" s="538">
        <v>65000</v>
      </c>
      <c r="I32" s="538">
        <v>65000</v>
      </c>
      <c r="J32" s="538">
        <v>65000</v>
      </c>
      <c r="K32" s="538">
        <v>65000</v>
      </c>
      <c r="L32" s="538">
        <v>65000</v>
      </c>
      <c r="M32" s="538">
        <v>65000</v>
      </c>
      <c r="N32" s="64">
        <f t="shared" ref="N32:N36" si="8">SUM(B32:M32)</f>
        <v>780000</v>
      </c>
    </row>
    <row r="33" spans="1:14" ht="16">
      <c r="A33" s="316" t="s">
        <v>243</v>
      </c>
      <c r="B33" s="538">
        <v>65000</v>
      </c>
      <c r="C33" s="538">
        <v>65000</v>
      </c>
      <c r="D33" s="538">
        <v>65000</v>
      </c>
      <c r="E33" s="538">
        <v>65000</v>
      </c>
      <c r="F33" s="538">
        <v>65000</v>
      </c>
      <c r="G33" s="538">
        <v>65000</v>
      </c>
      <c r="H33" s="538">
        <v>65000</v>
      </c>
      <c r="I33" s="538">
        <v>65000</v>
      </c>
      <c r="J33" s="538">
        <v>65000</v>
      </c>
      <c r="K33" s="538">
        <v>65000</v>
      </c>
      <c r="L33" s="538">
        <v>65000</v>
      </c>
      <c r="M33" s="538">
        <v>65000</v>
      </c>
      <c r="N33" s="64">
        <f t="shared" si="8"/>
        <v>780000</v>
      </c>
    </row>
    <row r="34" spans="1:14" ht="16">
      <c r="A34" s="316" t="s">
        <v>243</v>
      </c>
      <c r="B34" s="538">
        <v>65000</v>
      </c>
      <c r="C34" s="538">
        <v>65000</v>
      </c>
      <c r="D34" s="538">
        <v>65000</v>
      </c>
      <c r="E34" s="538">
        <v>65000</v>
      </c>
      <c r="F34" s="538">
        <v>65000</v>
      </c>
      <c r="G34" s="538">
        <v>65000</v>
      </c>
      <c r="H34" s="538">
        <v>65000</v>
      </c>
      <c r="I34" s="538">
        <v>65000</v>
      </c>
      <c r="J34" s="538">
        <v>65000</v>
      </c>
      <c r="K34" s="538">
        <v>65000</v>
      </c>
      <c r="L34" s="538">
        <v>65000</v>
      </c>
      <c r="M34" s="538">
        <v>65000</v>
      </c>
      <c r="N34" s="64">
        <f t="shared" si="8"/>
        <v>780000</v>
      </c>
    </row>
    <row r="35" spans="1:14" ht="16">
      <c r="A35" s="316" t="s">
        <v>243</v>
      </c>
      <c r="B35" s="538">
        <v>65000</v>
      </c>
      <c r="C35" s="538">
        <v>65000</v>
      </c>
      <c r="D35" s="538">
        <v>65000</v>
      </c>
      <c r="E35" s="538">
        <v>65000</v>
      </c>
      <c r="F35" s="538">
        <v>65000</v>
      </c>
      <c r="G35" s="538">
        <v>65000</v>
      </c>
      <c r="H35" s="538">
        <v>65000</v>
      </c>
      <c r="I35" s="538">
        <v>65000</v>
      </c>
      <c r="J35" s="538">
        <v>65000</v>
      </c>
      <c r="K35" s="538">
        <v>65000</v>
      </c>
      <c r="L35" s="538">
        <v>65000</v>
      </c>
      <c r="M35" s="538">
        <v>65000</v>
      </c>
      <c r="N35" s="64">
        <f t="shared" si="8"/>
        <v>780000</v>
      </c>
    </row>
    <row r="36" spans="1:14" ht="16">
      <c r="A36" s="316" t="s">
        <v>243</v>
      </c>
      <c r="B36" s="538">
        <v>65000</v>
      </c>
      <c r="C36" s="538">
        <v>65000</v>
      </c>
      <c r="D36" s="538">
        <v>65000</v>
      </c>
      <c r="E36" s="538">
        <v>65000</v>
      </c>
      <c r="F36" s="538">
        <v>65000</v>
      </c>
      <c r="G36" s="538">
        <v>65000</v>
      </c>
      <c r="H36" s="538">
        <v>65000</v>
      </c>
      <c r="I36" s="538">
        <v>65000</v>
      </c>
      <c r="J36" s="538">
        <v>65000</v>
      </c>
      <c r="K36" s="538">
        <v>65000</v>
      </c>
      <c r="L36" s="538">
        <v>65000</v>
      </c>
      <c r="M36" s="538">
        <v>65000</v>
      </c>
      <c r="N36" s="64">
        <f t="shared" si="8"/>
        <v>780000</v>
      </c>
    </row>
    <row r="37" spans="1:14" ht="18.75" customHeight="1">
      <c r="A37" s="504" t="s">
        <v>664</v>
      </c>
      <c r="B37" s="501">
        <f>SUM(B38:B55)</f>
        <v>1172000</v>
      </c>
      <c r="C37" s="501">
        <f t="shared" ref="C37:M37" si="9">SUM(C38:C55)</f>
        <v>1172000</v>
      </c>
      <c r="D37" s="501">
        <f t="shared" ref="D37:L37" si="10">SUM(D38:D55)</f>
        <v>1172000</v>
      </c>
      <c r="E37" s="501">
        <f t="shared" si="10"/>
        <v>1172000</v>
      </c>
      <c r="F37" s="501">
        <f t="shared" si="10"/>
        <v>1172000</v>
      </c>
      <c r="G37" s="501">
        <f t="shared" si="10"/>
        <v>1172000</v>
      </c>
      <c r="H37" s="501">
        <f t="shared" si="10"/>
        <v>1172000</v>
      </c>
      <c r="I37" s="501">
        <f t="shared" si="10"/>
        <v>1172000</v>
      </c>
      <c r="J37" s="501">
        <f t="shared" si="10"/>
        <v>1172000</v>
      </c>
      <c r="K37" s="501">
        <f t="shared" si="10"/>
        <v>1172000</v>
      </c>
      <c r="L37" s="501">
        <f t="shared" si="10"/>
        <v>1172000</v>
      </c>
      <c r="M37" s="501">
        <f t="shared" si="9"/>
        <v>1172000</v>
      </c>
      <c r="N37" s="501">
        <f>SUM(B37:M37)</f>
        <v>14064000</v>
      </c>
    </row>
    <row r="38" spans="1:14" ht="15.75" customHeight="1">
      <c r="A38" s="316" t="s">
        <v>670</v>
      </c>
      <c r="B38" s="538">
        <v>103000</v>
      </c>
      <c r="C38" s="538">
        <v>103000</v>
      </c>
      <c r="D38" s="538">
        <v>103000</v>
      </c>
      <c r="E38" s="538">
        <v>103000</v>
      </c>
      <c r="F38" s="538">
        <v>103000</v>
      </c>
      <c r="G38" s="538">
        <v>103000</v>
      </c>
      <c r="H38" s="538">
        <v>103000</v>
      </c>
      <c r="I38" s="538">
        <v>103000</v>
      </c>
      <c r="J38" s="538">
        <v>103000</v>
      </c>
      <c r="K38" s="538">
        <v>103000</v>
      </c>
      <c r="L38" s="538">
        <v>103000</v>
      </c>
      <c r="M38" s="538">
        <v>103000</v>
      </c>
      <c r="N38" s="64">
        <f t="shared" ref="N38:N59" si="11">SUM(B38:M38)</f>
        <v>1236000</v>
      </c>
    </row>
    <row r="39" spans="1:14" ht="16">
      <c r="A39" s="316" t="s">
        <v>246</v>
      </c>
      <c r="B39" s="538">
        <v>65000</v>
      </c>
      <c r="C39" s="538">
        <v>65000</v>
      </c>
      <c r="D39" s="538">
        <v>65000</v>
      </c>
      <c r="E39" s="538">
        <v>65000</v>
      </c>
      <c r="F39" s="538">
        <v>65000</v>
      </c>
      <c r="G39" s="538">
        <v>65000</v>
      </c>
      <c r="H39" s="538">
        <v>65000</v>
      </c>
      <c r="I39" s="538">
        <v>65000</v>
      </c>
      <c r="J39" s="538">
        <v>65000</v>
      </c>
      <c r="K39" s="538">
        <v>65000</v>
      </c>
      <c r="L39" s="538">
        <v>65000</v>
      </c>
      <c r="M39" s="538">
        <v>65000</v>
      </c>
      <c r="N39" s="64">
        <f t="shared" si="11"/>
        <v>780000</v>
      </c>
    </row>
    <row r="40" spans="1:14" ht="16">
      <c r="A40" s="316" t="s">
        <v>246</v>
      </c>
      <c r="B40" s="538">
        <v>65000</v>
      </c>
      <c r="C40" s="538">
        <v>65000</v>
      </c>
      <c r="D40" s="538">
        <v>65000</v>
      </c>
      <c r="E40" s="538">
        <v>65000</v>
      </c>
      <c r="F40" s="538">
        <v>65000</v>
      </c>
      <c r="G40" s="538">
        <v>65000</v>
      </c>
      <c r="H40" s="538">
        <v>65000</v>
      </c>
      <c r="I40" s="538">
        <v>65000</v>
      </c>
      <c r="J40" s="538">
        <v>65000</v>
      </c>
      <c r="K40" s="538">
        <v>65000</v>
      </c>
      <c r="L40" s="538">
        <v>65000</v>
      </c>
      <c r="M40" s="538">
        <v>65000</v>
      </c>
      <c r="N40" s="64">
        <f t="shared" si="11"/>
        <v>780000</v>
      </c>
    </row>
    <row r="41" spans="1:14" ht="16">
      <c r="A41" s="316" t="s">
        <v>246</v>
      </c>
      <c r="B41" s="538">
        <v>65000</v>
      </c>
      <c r="C41" s="538">
        <v>65000</v>
      </c>
      <c r="D41" s="538">
        <v>65000</v>
      </c>
      <c r="E41" s="538">
        <v>65000</v>
      </c>
      <c r="F41" s="538">
        <v>65000</v>
      </c>
      <c r="G41" s="538">
        <v>65000</v>
      </c>
      <c r="H41" s="538">
        <v>65000</v>
      </c>
      <c r="I41" s="538">
        <v>65000</v>
      </c>
      <c r="J41" s="538">
        <v>65000</v>
      </c>
      <c r="K41" s="538">
        <v>65000</v>
      </c>
      <c r="L41" s="538">
        <v>65000</v>
      </c>
      <c r="M41" s="538">
        <v>65000</v>
      </c>
      <c r="N41" s="64">
        <f t="shared" si="11"/>
        <v>780000</v>
      </c>
    </row>
    <row r="42" spans="1:14" ht="16">
      <c r="A42" s="316" t="s">
        <v>246</v>
      </c>
      <c r="B42" s="538">
        <v>65000</v>
      </c>
      <c r="C42" s="538">
        <v>65000</v>
      </c>
      <c r="D42" s="538">
        <v>65000</v>
      </c>
      <c r="E42" s="538">
        <v>65000</v>
      </c>
      <c r="F42" s="538">
        <v>65000</v>
      </c>
      <c r="G42" s="538">
        <v>65000</v>
      </c>
      <c r="H42" s="538">
        <v>65000</v>
      </c>
      <c r="I42" s="538">
        <v>65000</v>
      </c>
      <c r="J42" s="538">
        <v>65000</v>
      </c>
      <c r="K42" s="538">
        <v>65000</v>
      </c>
      <c r="L42" s="538">
        <v>65000</v>
      </c>
      <c r="M42" s="538">
        <v>65000</v>
      </c>
      <c r="N42" s="64">
        <f t="shared" si="11"/>
        <v>780000</v>
      </c>
    </row>
    <row r="43" spans="1:14" ht="16">
      <c r="A43" s="316" t="s">
        <v>247</v>
      </c>
      <c r="B43" s="538">
        <v>65000</v>
      </c>
      <c r="C43" s="538">
        <v>65000</v>
      </c>
      <c r="D43" s="538">
        <v>65000</v>
      </c>
      <c r="E43" s="538">
        <v>65000</v>
      </c>
      <c r="F43" s="538">
        <v>65000</v>
      </c>
      <c r="G43" s="538">
        <v>65000</v>
      </c>
      <c r="H43" s="538">
        <v>65000</v>
      </c>
      <c r="I43" s="538">
        <v>65000</v>
      </c>
      <c r="J43" s="538">
        <v>65000</v>
      </c>
      <c r="K43" s="538">
        <v>65000</v>
      </c>
      <c r="L43" s="538">
        <v>65000</v>
      </c>
      <c r="M43" s="538">
        <v>65000</v>
      </c>
      <c r="N43" s="64">
        <f t="shared" si="11"/>
        <v>780000</v>
      </c>
    </row>
    <row r="44" spans="1:14" ht="15" customHeight="1">
      <c r="A44" s="316" t="s">
        <v>248</v>
      </c>
      <c r="B44" s="538">
        <v>62000</v>
      </c>
      <c r="C44" s="538">
        <v>62000</v>
      </c>
      <c r="D44" s="538">
        <v>62000</v>
      </c>
      <c r="E44" s="538">
        <v>62000</v>
      </c>
      <c r="F44" s="538">
        <v>62000</v>
      </c>
      <c r="G44" s="538">
        <v>62000</v>
      </c>
      <c r="H44" s="538">
        <v>62000</v>
      </c>
      <c r="I44" s="538">
        <v>62000</v>
      </c>
      <c r="J44" s="538">
        <v>62000</v>
      </c>
      <c r="K44" s="538">
        <v>62000</v>
      </c>
      <c r="L44" s="538">
        <v>62000</v>
      </c>
      <c r="M44" s="538">
        <v>62000</v>
      </c>
      <c r="N44" s="64">
        <f t="shared" si="11"/>
        <v>744000</v>
      </c>
    </row>
    <row r="45" spans="1:14" ht="15" customHeight="1">
      <c r="A45" s="316" t="s">
        <v>248</v>
      </c>
      <c r="B45" s="538">
        <v>62000</v>
      </c>
      <c r="C45" s="538">
        <v>62000</v>
      </c>
      <c r="D45" s="538">
        <v>62000</v>
      </c>
      <c r="E45" s="538">
        <v>62000</v>
      </c>
      <c r="F45" s="538">
        <v>62000</v>
      </c>
      <c r="G45" s="538">
        <v>62000</v>
      </c>
      <c r="H45" s="538">
        <v>62000</v>
      </c>
      <c r="I45" s="538">
        <v>62000</v>
      </c>
      <c r="J45" s="538">
        <v>62000</v>
      </c>
      <c r="K45" s="538">
        <v>62000</v>
      </c>
      <c r="L45" s="538">
        <v>62000</v>
      </c>
      <c r="M45" s="538">
        <v>62000</v>
      </c>
      <c r="N45" s="64">
        <f t="shared" si="11"/>
        <v>744000</v>
      </c>
    </row>
    <row r="46" spans="1:14" ht="15" customHeight="1">
      <c r="A46" s="316" t="s">
        <v>248</v>
      </c>
      <c r="B46" s="538">
        <v>62000</v>
      </c>
      <c r="C46" s="538">
        <v>62000</v>
      </c>
      <c r="D46" s="538">
        <v>62000</v>
      </c>
      <c r="E46" s="538">
        <v>62000</v>
      </c>
      <c r="F46" s="538">
        <v>62000</v>
      </c>
      <c r="G46" s="538">
        <v>62000</v>
      </c>
      <c r="H46" s="538">
        <v>62000</v>
      </c>
      <c r="I46" s="538">
        <v>62000</v>
      </c>
      <c r="J46" s="538">
        <v>62000</v>
      </c>
      <c r="K46" s="538">
        <v>62000</v>
      </c>
      <c r="L46" s="538">
        <v>62000</v>
      </c>
      <c r="M46" s="538">
        <v>62000</v>
      </c>
      <c r="N46" s="64">
        <f t="shared" si="11"/>
        <v>744000</v>
      </c>
    </row>
    <row r="47" spans="1:14" ht="15" customHeight="1">
      <c r="A47" s="316" t="s">
        <v>248</v>
      </c>
      <c r="B47" s="538">
        <v>62000</v>
      </c>
      <c r="C47" s="538">
        <v>62000</v>
      </c>
      <c r="D47" s="538">
        <v>62000</v>
      </c>
      <c r="E47" s="538">
        <v>62000</v>
      </c>
      <c r="F47" s="538">
        <v>62000</v>
      </c>
      <c r="G47" s="538">
        <v>62000</v>
      </c>
      <c r="H47" s="538">
        <v>62000</v>
      </c>
      <c r="I47" s="538">
        <v>62000</v>
      </c>
      <c r="J47" s="538">
        <v>62000</v>
      </c>
      <c r="K47" s="538">
        <v>62000</v>
      </c>
      <c r="L47" s="538">
        <v>62000</v>
      </c>
      <c r="M47" s="538">
        <v>62000</v>
      </c>
      <c r="N47" s="64">
        <f t="shared" si="11"/>
        <v>744000</v>
      </c>
    </row>
    <row r="48" spans="1:14" ht="15" customHeight="1">
      <c r="A48" s="316" t="s">
        <v>248</v>
      </c>
      <c r="B48" s="538">
        <v>62000</v>
      </c>
      <c r="C48" s="538">
        <v>62000</v>
      </c>
      <c r="D48" s="538">
        <v>62000</v>
      </c>
      <c r="E48" s="538">
        <v>62000</v>
      </c>
      <c r="F48" s="538">
        <v>62000</v>
      </c>
      <c r="G48" s="538">
        <v>62000</v>
      </c>
      <c r="H48" s="538">
        <v>62000</v>
      </c>
      <c r="I48" s="538">
        <v>62000</v>
      </c>
      <c r="J48" s="538">
        <v>62000</v>
      </c>
      <c r="K48" s="538">
        <v>62000</v>
      </c>
      <c r="L48" s="538">
        <v>62000</v>
      </c>
      <c r="M48" s="538">
        <v>62000</v>
      </c>
      <c r="N48" s="64">
        <f t="shared" si="11"/>
        <v>744000</v>
      </c>
    </row>
    <row r="49" spans="1:14" ht="15" customHeight="1">
      <c r="A49" s="316" t="s">
        <v>248</v>
      </c>
      <c r="B49" s="538">
        <v>62000</v>
      </c>
      <c r="C49" s="538">
        <v>62000</v>
      </c>
      <c r="D49" s="538">
        <v>62000</v>
      </c>
      <c r="E49" s="538">
        <v>62000</v>
      </c>
      <c r="F49" s="538">
        <v>62000</v>
      </c>
      <c r="G49" s="538">
        <v>62000</v>
      </c>
      <c r="H49" s="538">
        <v>62000</v>
      </c>
      <c r="I49" s="538">
        <v>62000</v>
      </c>
      <c r="J49" s="538">
        <v>62000</v>
      </c>
      <c r="K49" s="538">
        <v>62000</v>
      </c>
      <c r="L49" s="538">
        <v>62000</v>
      </c>
      <c r="M49" s="538">
        <v>62000</v>
      </c>
      <c r="N49" s="64">
        <f t="shared" si="11"/>
        <v>744000</v>
      </c>
    </row>
    <row r="50" spans="1:14" ht="15" customHeight="1">
      <c r="A50" s="316" t="s">
        <v>248</v>
      </c>
      <c r="B50" s="538">
        <v>62000</v>
      </c>
      <c r="C50" s="538">
        <v>62000</v>
      </c>
      <c r="D50" s="538">
        <v>62000</v>
      </c>
      <c r="E50" s="538">
        <v>62000</v>
      </c>
      <c r="F50" s="538">
        <v>62000</v>
      </c>
      <c r="G50" s="538">
        <v>62000</v>
      </c>
      <c r="H50" s="538">
        <v>62000</v>
      </c>
      <c r="I50" s="538">
        <v>62000</v>
      </c>
      <c r="J50" s="538">
        <v>62000</v>
      </c>
      <c r="K50" s="538">
        <v>62000</v>
      </c>
      <c r="L50" s="538">
        <v>62000</v>
      </c>
      <c r="M50" s="538">
        <v>62000</v>
      </c>
      <c r="N50" s="64">
        <f t="shared" si="11"/>
        <v>744000</v>
      </c>
    </row>
    <row r="51" spans="1:14" ht="15" customHeight="1">
      <c r="A51" s="316" t="s">
        <v>248</v>
      </c>
      <c r="B51" s="538">
        <v>62000</v>
      </c>
      <c r="C51" s="538">
        <v>62000</v>
      </c>
      <c r="D51" s="538">
        <v>62000</v>
      </c>
      <c r="E51" s="538">
        <v>62000</v>
      </c>
      <c r="F51" s="538">
        <v>62000</v>
      </c>
      <c r="G51" s="538">
        <v>62000</v>
      </c>
      <c r="H51" s="538">
        <v>62000</v>
      </c>
      <c r="I51" s="538">
        <v>62000</v>
      </c>
      <c r="J51" s="538">
        <v>62000</v>
      </c>
      <c r="K51" s="538">
        <v>62000</v>
      </c>
      <c r="L51" s="538">
        <v>62000</v>
      </c>
      <c r="M51" s="538">
        <v>62000</v>
      </c>
      <c r="N51" s="64">
        <f t="shared" si="11"/>
        <v>744000</v>
      </c>
    </row>
    <row r="52" spans="1:14" ht="15" customHeight="1">
      <c r="A52" s="316" t="s">
        <v>248</v>
      </c>
      <c r="B52" s="538">
        <v>62000</v>
      </c>
      <c r="C52" s="538">
        <v>62000</v>
      </c>
      <c r="D52" s="538">
        <v>62000</v>
      </c>
      <c r="E52" s="538">
        <v>62000</v>
      </c>
      <c r="F52" s="538">
        <v>62000</v>
      </c>
      <c r="G52" s="538">
        <v>62000</v>
      </c>
      <c r="H52" s="538">
        <v>62000</v>
      </c>
      <c r="I52" s="538">
        <v>62000</v>
      </c>
      <c r="J52" s="538">
        <v>62000</v>
      </c>
      <c r="K52" s="538">
        <v>62000</v>
      </c>
      <c r="L52" s="538">
        <v>62000</v>
      </c>
      <c r="M52" s="538">
        <v>62000</v>
      </c>
      <c r="N52" s="64">
        <f t="shared" si="11"/>
        <v>744000</v>
      </c>
    </row>
    <row r="53" spans="1:14" ht="15" customHeight="1">
      <c r="A53" s="316" t="s">
        <v>248</v>
      </c>
      <c r="B53" s="538">
        <v>62000</v>
      </c>
      <c r="C53" s="538">
        <v>62000</v>
      </c>
      <c r="D53" s="538">
        <v>62000</v>
      </c>
      <c r="E53" s="538">
        <v>62000</v>
      </c>
      <c r="F53" s="538">
        <v>62000</v>
      </c>
      <c r="G53" s="538">
        <v>62000</v>
      </c>
      <c r="H53" s="538">
        <v>62000</v>
      </c>
      <c r="I53" s="538">
        <v>62000</v>
      </c>
      <c r="J53" s="538">
        <v>62000</v>
      </c>
      <c r="K53" s="538">
        <v>62000</v>
      </c>
      <c r="L53" s="538">
        <v>62000</v>
      </c>
      <c r="M53" s="538">
        <v>62000</v>
      </c>
      <c r="N53" s="64">
        <f t="shared" si="11"/>
        <v>744000</v>
      </c>
    </row>
    <row r="54" spans="1:14" ht="15" customHeight="1">
      <c r="A54" s="316" t="s">
        <v>248</v>
      </c>
      <c r="B54" s="538">
        <v>62000</v>
      </c>
      <c r="C54" s="538">
        <v>62000</v>
      </c>
      <c r="D54" s="538">
        <v>62000</v>
      </c>
      <c r="E54" s="538">
        <v>62000</v>
      </c>
      <c r="F54" s="538">
        <v>62000</v>
      </c>
      <c r="G54" s="538">
        <v>62000</v>
      </c>
      <c r="H54" s="538">
        <v>62000</v>
      </c>
      <c r="I54" s="538">
        <v>62000</v>
      </c>
      <c r="J54" s="538">
        <v>62000</v>
      </c>
      <c r="K54" s="538">
        <v>62000</v>
      </c>
      <c r="L54" s="538">
        <v>62000</v>
      </c>
      <c r="M54" s="538">
        <v>62000</v>
      </c>
      <c r="N54" s="64">
        <f t="shared" si="11"/>
        <v>744000</v>
      </c>
    </row>
    <row r="55" spans="1:14" ht="15" customHeight="1">
      <c r="A55" s="316" t="s">
        <v>248</v>
      </c>
      <c r="B55" s="538">
        <v>62000</v>
      </c>
      <c r="C55" s="538">
        <v>62000</v>
      </c>
      <c r="D55" s="538">
        <v>62000</v>
      </c>
      <c r="E55" s="538">
        <v>62000</v>
      </c>
      <c r="F55" s="538">
        <v>62000</v>
      </c>
      <c r="G55" s="538">
        <v>62000</v>
      </c>
      <c r="H55" s="538">
        <v>62000</v>
      </c>
      <c r="I55" s="538">
        <v>62000</v>
      </c>
      <c r="J55" s="538">
        <v>62000</v>
      </c>
      <c r="K55" s="538">
        <v>62000</v>
      </c>
      <c r="L55" s="538">
        <v>62000</v>
      </c>
      <c r="M55" s="538">
        <v>62000</v>
      </c>
      <c r="N55" s="64">
        <f t="shared" si="11"/>
        <v>744000</v>
      </c>
    </row>
    <row r="56" spans="1:14" ht="30">
      <c r="A56" s="507" t="s">
        <v>677</v>
      </c>
      <c r="B56" s="506">
        <f t="shared" ref="B56:N56" si="12">SUM(B57:B59)</f>
        <v>458580</v>
      </c>
      <c r="C56" s="506">
        <f t="shared" si="12"/>
        <v>238580</v>
      </c>
      <c r="D56" s="506">
        <f t="shared" si="12"/>
        <v>88580</v>
      </c>
      <c r="E56" s="506">
        <f t="shared" si="12"/>
        <v>58580</v>
      </c>
      <c r="F56" s="506">
        <f t="shared" si="12"/>
        <v>148580</v>
      </c>
      <c r="G56" s="506">
        <f t="shared" si="12"/>
        <v>132580</v>
      </c>
      <c r="H56" s="506">
        <f t="shared" si="12"/>
        <v>102580</v>
      </c>
      <c r="I56" s="506">
        <f t="shared" si="12"/>
        <v>102580</v>
      </c>
      <c r="J56" s="506">
        <f t="shared" si="12"/>
        <v>58580</v>
      </c>
      <c r="K56" s="506">
        <f t="shared" si="12"/>
        <v>58580</v>
      </c>
      <c r="L56" s="506">
        <f t="shared" si="12"/>
        <v>88580</v>
      </c>
      <c r="M56" s="506">
        <f t="shared" si="12"/>
        <v>208580</v>
      </c>
      <c r="N56" s="506">
        <f t="shared" si="12"/>
        <v>1744960</v>
      </c>
    </row>
    <row r="57" spans="1:14" ht="21" customHeight="1">
      <c r="A57" s="316" t="s">
        <v>695</v>
      </c>
      <c r="B57" s="468">
        <f>54000+400000</f>
        <v>454000</v>
      </c>
      <c r="C57" s="468">
        <f>54000+30000</f>
        <v>84000</v>
      </c>
      <c r="D57" s="468">
        <f>30000+54000</f>
        <v>84000</v>
      </c>
      <c r="E57" s="468">
        <f>54000</f>
        <v>54000</v>
      </c>
      <c r="F57" s="468">
        <f>50000+54000</f>
        <v>104000</v>
      </c>
      <c r="G57" s="468">
        <f>30000+54000</f>
        <v>84000</v>
      </c>
      <c r="H57" s="468">
        <f>54000</f>
        <v>54000</v>
      </c>
      <c r="I57" s="468">
        <f>54000</f>
        <v>54000</v>
      </c>
      <c r="J57" s="468">
        <f>54000</f>
        <v>54000</v>
      </c>
      <c r="K57" s="468">
        <f>54000</f>
        <v>54000</v>
      </c>
      <c r="L57" s="468">
        <f>30000+54000</f>
        <v>84000</v>
      </c>
      <c r="M57" s="468">
        <f>54000</f>
        <v>54000</v>
      </c>
      <c r="N57" s="64">
        <f t="shared" si="11"/>
        <v>1218000</v>
      </c>
    </row>
    <row r="58" spans="1:14" ht="16">
      <c r="A58" s="316" t="s">
        <v>669</v>
      </c>
      <c r="B58" s="67"/>
      <c r="C58" s="468">
        <v>150000</v>
      </c>
      <c r="D58" s="468"/>
      <c r="E58" s="67"/>
      <c r="F58" s="67"/>
      <c r="G58" s="67"/>
      <c r="H58" s="67"/>
      <c r="I58" s="266"/>
      <c r="J58" s="67"/>
      <c r="K58" s="67"/>
      <c r="L58" s="67"/>
      <c r="M58" s="468">
        <v>150000</v>
      </c>
      <c r="N58" s="64">
        <f t="shared" si="11"/>
        <v>300000</v>
      </c>
    </row>
    <row r="59" spans="1:14" ht="16">
      <c r="A59" s="316" t="s">
        <v>696</v>
      </c>
      <c r="B59" s="67">
        <v>4580</v>
      </c>
      <c r="C59" s="67">
        <v>4580</v>
      </c>
      <c r="D59" s="67">
        <v>4580</v>
      </c>
      <c r="E59" s="67">
        <v>4580</v>
      </c>
      <c r="F59" s="468">
        <f>40000+4580</f>
        <v>44580</v>
      </c>
      <c r="G59" s="468">
        <f>44000+4580</f>
        <v>48580</v>
      </c>
      <c r="H59" s="468">
        <f t="shared" ref="H59:I59" si="13">44000+4580</f>
        <v>48580</v>
      </c>
      <c r="I59" s="468">
        <f t="shared" si="13"/>
        <v>48580</v>
      </c>
      <c r="J59" s="67">
        <v>4580</v>
      </c>
      <c r="K59" s="67">
        <v>4580</v>
      </c>
      <c r="L59" s="67">
        <v>4580</v>
      </c>
      <c r="M59" s="67">
        <v>4580</v>
      </c>
      <c r="N59" s="64">
        <f t="shared" si="11"/>
        <v>226960</v>
      </c>
    </row>
    <row r="60" spans="1:14">
      <c r="A60" s="508" t="s">
        <v>667</v>
      </c>
      <c r="B60" s="509">
        <f>SUM(B8,B22,B25,B31,B37,B57,B58)*0.302</f>
        <v>1060251.03</v>
      </c>
      <c r="C60" s="509">
        <f t="shared" ref="C60:N60" si="14">SUM(C8,C22,C25,C31,C37,C57,C58)*0.302</f>
        <v>993811.02999999991</v>
      </c>
      <c r="D60" s="509">
        <f t="shared" si="14"/>
        <v>948511.03</v>
      </c>
      <c r="E60" s="509">
        <f t="shared" si="14"/>
        <v>939451.03</v>
      </c>
      <c r="F60" s="509">
        <f t="shared" si="14"/>
        <v>954551.03</v>
      </c>
      <c r="G60" s="509">
        <f t="shared" si="14"/>
        <v>948511.03</v>
      </c>
      <c r="H60" s="509">
        <f t="shared" si="14"/>
        <v>939451.03</v>
      </c>
      <c r="I60" s="509">
        <f t="shared" si="14"/>
        <v>939451.03</v>
      </c>
      <c r="J60" s="509">
        <f t="shared" si="14"/>
        <v>939451.03</v>
      </c>
      <c r="K60" s="509">
        <f t="shared" si="14"/>
        <v>939451.03</v>
      </c>
      <c r="L60" s="509">
        <f t="shared" si="14"/>
        <v>948511.03</v>
      </c>
      <c r="M60" s="509">
        <f t="shared" si="14"/>
        <v>984751.02999999991</v>
      </c>
      <c r="N60" s="509">
        <f t="shared" si="14"/>
        <v>11536152.359999999</v>
      </c>
    </row>
  </sheetData>
  <hyperlinks>
    <hyperlink ref="A1" location="Бюджет" display="Бюджет" xr:uid="{00000000-0004-0000-0E00-000000000000}"/>
    <hyperlink ref="G2" location="Бюджет" display="2-0011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6"/>
  <sheetViews>
    <sheetView workbookViewId="0">
      <selection activeCell="A7" sqref="A7:XFD7"/>
    </sheetView>
  </sheetViews>
  <sheetFormatPr baseColWidth="10" defaultColWidth="8.83203125" defaultRowHeight="15"/>
  <cols>
    <col min="1" max="1" width="37.6640625" customWidth="1"/>
    <col min="2" max="2" width="16" bestFit="1" customWidth="1"/>
    <col min="3" max="14" width="14.6640625" bestFit="1" customWidth="1"/>
  </cols>
  <sheetData>
    <row r="1" spans="1:14">
      <c r="A1" s="223" t="s">
        <v>206</v>
      </c>
    </row>
    <row r="2" spans="1:14">
      <c r="A2" s="237"/>
      <c r="B2" s="238"/>
      <c r="C2" s="238"/>
      <c r="D2" s="238"/>
      <c r="E2" s="238"/>
      <c r="F2" s="689" t="s">
        <v>142</v>
      </c>
      <c r="G2" s="689"/>
      <c r="H2" s="238"/>
      <c r="I2" s="238"/>
      <c r="J2" s="238"/>
      <c r="K2" s="238"/>
      <c r="L2" s="238"/>
      <c r="M2" s="238"/>
      <c r="N2" s="238"/>
    </row>
    <row r="3" spans="1:14" ht="47.25" customHeight="1">
      <c r="A3" s="690" t="s">
        <v>282</v>
      </c>
      <c r="B3" s="690"/>
      <c r="C3" s="690"/>
      <c r="D3" s="690"/>
      <c r="E3" s="690"/>
      <c r="F3" s="690"/>
      <c r="G3" s="690"/>
      <c r="H3" s="690"/>
      <c r="I3" s="690"/>
      <c r="J3" s="690"/>
      <c r="K3" s="690"/>
      <c r="L3" s="690"/>
      <c r="M3" s="690"/>
      <c r="N3" s="690"/>
    </row>
    <row r="4" spans="1:14">
      <c r="A4" s="237"/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</row>
    <row r="5" spans="1:14" ht="16">
      <c r="A5" s="247"/>
      <c r="B5" s="248"/>
      <c r="C5" s="248" t="s">
        <v>63</v>
      </c>
      <c r="D5" s="248" t="s">
        <v>64</v>
      </c>
      <c r="E5" s="248" t="s">
        <v>65</v>
      </c>
      <c r="F5" s="248" t="s">
        <v>66</v>
      </c>
      <c r="G5" s="248" t="s">
        <v>60</v>
      </c>
      <c r="H5" s="248" t="s">
        <v>67</v>
      </c>
      <c r="I5" s="248" t="s">
        <v>68</v>
      </c>
      <c r="J5" s="248" t="s">
        <v>69</v>
      </c>
      <c r="K5" s="248" t="s">
        <v>70</v>
      </c>
      <c r="L5" s="248" t="s">
        <v>71</v>
      </c>
      <c r="M5" s="248" t="s">
        <v>72</v>
      </c>
      <c r="N5" s="248" t="s">
        <v>73</v>
      </c>
    </row>
    <row r="6" spans="1:14" ht="16">
      <c r="A6" s="399" t="s">
        <v>264</v>
      </c>
      <c r="B6" s="517">
        <f>SUM(C6:N6)</f>
        <v>11536152.359999999</v>
      </c>
      <c r="C6" s="398">
        <f>'2-0011'!B60</f>
        <v>1060251.03</v>
      </c>
      <c r="D6" s="398">
        <f>'2-0011'!C60</f>
        <v>993811.02999999991</v>
      </c>
      <c r="E6" s="398">
        <f>'2-0011'!D60</f>
        <v>948511.03</v>
      </c>
      <c r="F6" s="398">
        <f>'2-0011'!E60</f>
        <v>939451.03</v>
      </c>
      <c r="G6" s="398">
        <f>'2-0011'!F60</f>
        <v>954551.03</v>
      </c>
      <c r="H6" s="398">
        <f>'2-0011'!G60</f>
        <v>948511.03</v>
      </c>
      <c r="I6" s="398">
        <f>'2-0011'!H60</f>
        <v>939451.03</v>
      </c>
      <c r="J6" s="398">
        <f>'2-0011'!I60</f>
        <v>939451.03</v>
      </c>
      <c r="K6" s="398">
        <f>'2-0011'!J60</f>
        <v>939451.03</v>
      </c>
      <c r="L6" s="398">
        <f>'2-0011'!K60</f>
        <v>939451.03</v>
      </c>
      <c r="M6" s="398">
        <f>'2-0011'!L60</f>
        <v>948511.03</v>
      </c>
      <c r="N6" s="398">
        <f>'2-0011'!M60</f>
        <v>984751.02999999991</v>
      </c>
    </row>
  </sheetData>
  <mergeCells count="2">
    <mergeCell ref="F2:G2"/>
    <mergeCell ref="A3:N3"/>
  </mergeCells>
  <hyperlinks>
    <hyperlink ref="A1" location="Бюджет" display="Бюджет" xr:uid="{00000000-0004-0000-0F00-000000000000}"/>
    <hyperlink ref="F2:G2" location="Бюджет" display="2-0012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12"/>
  <sheetViews>
    <sheetView workbookViewId="0"/>
  </sheetViews>
  <sheetFormatPr baseColWidth="10" defaultColWidth="8.83203125" defaultRowHeight="15"/>
  <cols>
    <col min="1" max="1" width="62.83203125" style="238" customWidth="1"/>
    <col min="2" max="2" width="16.5" style="238" customWidth="1"/>
    <col min="3" max="3" width="13" style="238" customWidth="1"/>
    <col min="4" max="4" width="13.83203125" style="238" customWidth="1"/>
    <col min="5" max="5" width="12.6640625" style="238" bestFit="1" customWidth="1"/>
    <col min="6" max="6" width="11.5" style="238" bestFit="1" customWidth="1"/>
    <col min="7" max="7" width="12.1640625" style="238" customWidth="1"/>
    <col min="8" max="14" width="12.6640625" style="238" customWidth="1"/>
  </cols>
  <sheetData>
    <row r="1" spans="1:14">
      <c r="A1" s="237" t="s">
        <v>206</v>
      </c>
    </row>
    <row r="2" spans="1:14">
      <c r="A2" s="237"/>
      <c r="C2" s="689" t="s">
        <v>143</v>
      </c>
      <c r="D2" s="689"/>
      <c r="E2" s="689"/>
    </row>
    <row r="3" spans="1:14" ht="15.75" customHeight="1">
      <c r="A3" s="235" t="s">
        <v>209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</row>
    <row r="4" spans="1:14" ht="31.5" customHeight="1">
      <c r="A4" s="691" t="s">
        <v>640</v>
      </c>
      <c r="B4" s="691"/>
      <c r="C4" s="691"/>
      <c r="D4" s="691"/>
      <c r="E4" s="691"/>
      <c r="F4" s="691"/>
      <c r="G4" s="691"/>
      <c r="H4" s="691"/>
      <c r="I4" s="691"/>
      <c r="J4" s="691"/>
      <c r="K4" s="691"/>
      <c r="L4" s="691"/>
      <c r="M4" s="691"/>
      <c r="N4" s="691"/>
    </row>
    <row r="5" spans="1:14" ht="31.5" customHeight="1">
      <c r="A5" s="691" t="s">
        <v>638</v>
      </c>
      <c r="B5" s="691"/>
      <c r="C5" s="691"/>
      <c r="D5" s="691"/>
      <c r="E5" s="691"/>
      <c r="F5" s="691"/>
      <c r="G5" s="691"/>
      <c r="H5" s="691"/>
      <c r="I5" s="691"/>
      <c r="J5" s="691"/>
      <c r="K5" s="691"/>
      <c r="L5" s="691"/>
      <c r="M5" s="691"/>
      <c r="N5" s="691"/>
    </row>
    <row r="6" spans="1:14" ht="31.5" customHeight="1">
      <c r="A6" s="483" t="s">
        <v>639</v>
      </c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</row>
    <row r="7" spans="1:14" ht="16">
      <c r="A7" s="247"/>
      <c r="B7" s="248"/>
      <c r="C7" s="248" t="s">
        <v>63</v>
      </c>
      <c r="D7" s="248" t="s">
        <v>64</v>
      </c>
      <c r="E7" s="248" t="s">
        <v>65</v>
      </c>
      <c r="F7" s="248" t="s">
        <v>66</v>
      </c>
      <c r="G7" s="248" t="s">
        <v>60</v>
      </c>
      <c r="H7" s="248" t="s">
        <v>67</v>
      </c>
      <c r="I7" s="248" t="s">
        <v>68</v>
      </c>
      <c r="J7" s="248" t="s">
        <v>69</v>
      </c>
      <c r="K7" s="248" t="s">
        <v>70</v>
      </c>
      <c r="L7" s="248" t="s">
        <v>71</v>
      </c>
      <c r="M7" s="248" t="s">
        <v>72</v>
      </c>
      <c r="N7" s="248" t="s">
        <v>73</v>
      </c>
    </row>
    <row r="8" spans="1:14" ht="17">
      <c r="A8" s="401" t="s">
        <v>265</v>
      </c>
      <c r="B8" s="402">
        <f>SUM(C8:N8)</f>
        <v>242500</v>
      </c>
      <c r="C8" s="400">
        <f t="shared" ref="C8:N8" si="0">SUM(C10:C12)</f>
        <v>0</v>
      </c>
      <c r="D8" s="400">
        <f t="shared" si="0"/>
        <v>145000</v>
      </c>
      <c r="E8" s="400">
        <f t="shared" si="0"/>
        <v>0</v>
      </c>
      <c r="F8" s="400">
        <f t="shared" si="0"/>
        <v>0</v>
      </c>
      <c r="G8" s="400">
        <f t="shared" si="0"/>
        <v>0</v>
      </c>
      <c r="H8" s="400">
        <f t="shared" si="0"/>
        <v>0</v>
      </c>
      <c r="I8" s="400">
        <f t="shared" si="0"/>
        <v>13700</v>
      </c>
      <c r="J8" s="400">
        <f t="shared" si="0"/>
        <v>55000</v>
      </c>
      <c r="K8" s="400">
        <f t="shared" si="0"/>
        <v>0</v>
      </c>
      <c r="L8" s="400">
        <f t="shared" si="0"/>
        <v>7800</v>
      </c>
      <c r="M8" s="400">
        <f t="shared" si="0"/>
        <v>0</v>
      </c>
      <c r="N8" s="400">
        <f t="shared" si="0"/>
        <v>21000</v>
      </c>
    </row>
    <row r="9" spans="1:14" ht="16">
      <c r="A9" s="278"/>
      <c r="B9" s="279"/>
      <c r="C9" s="245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</row>
    <row r="10" spans="1:14">
      <c r="A10" s="266" t="s">
        <v>223</v>
      </c>
      <c r="B10" s="266"/>
      <c r="C10" s="266"/>
      <c r="D10" s="266"/>
      <c r="E10" s="266"/>
      <c r="F10" s="266"/>
      <c r="G10" s="266"/>
      <c r="H10" s="266"/>
      <c r="I10" s="266">
        <v>13700</v>
      </c>
      <c r="J10" s="266"/>
      <c r="K10" s="266"/>
      <c r="L10" s="266">
        <v>7800</v>
      </c>
      <c r="M10" s="266"/>
      <c r="N10" s="266">
        <v>21000</v>
      </c>
    </row>
    <row r="11" spans="1:14">
      <c r="A11" s="266" t="s">
        <v>257</v>
      </c>
      <c r="B11" s="266"/>
      <c r="C11" s="266"/>
      <c r="D11" s="266">
        <v>90000</v>
      </c>
      <c r="E11" s="266"/>
      <c r="F11" s="266"/>
      <c r="G11" s="266"/>
      <c r="H11" s="266"/>
      <c r="I11" s="266"/>
      <c r="J11" s="266"/>
      <c r="K11" s="266"/>
      <c r="L11" s="266"/>
      <c r="M11" s="266"/>
      <c r="N11" s="266"/>
    </row>
    <row r="12" spans="1:14">
      <c r="A12" s="266" t="s">
        <v>637</v>
      </c>
      <c r="B12" s="266"/>
      <c r="C12" s="266"/>
      <c r="D12" s="266">
        <v>55000</v>
      </c>
      <c r="E12" s="266"/>
      <c r="F12" s="266"/>
      <c r="G12" s="266"/>
      <c r="H12" s="266"/>
      <c r="I12" s="266"/>
      <c r="J12" s="266">
        <v>55000</v>
      </c>
      <c r="K12" s="266"/>
      <c r="L12" s="266"/>
      <c r="M12" s="266"/>
      <c r="N12" s="266"/>
    </row>
  </sheetData>
  <mergeCells count="3">
    <mergeCell ref="C2:E2"/>
    <mergeCell ref="A4:N4"/>
    <mergeCell ref="A5:N5"/>
  </mergeCells>
  <hyperlinks>
    <hyperlink ref="A1" location="Бюджет" display="Бюджет" xr:uid="{00000000-0004-0000-1000-000000000000}"/>
    <hyperlink ref="C2:E2" location="Бюджет" display="2-0013" xr:uid="{00000000-0004-0000-1000-000001000000}"/>
  </hyperlinks>
  <pageMargins left="0.7" right="0.7" top="0.75" bottom="0.75" header="0.3" footer="0.3"/>
  <pageSetup paperSize="9" orientation="portrait" horizontalDpi="0" verticalDpi="0"/>
  <legacy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7"/>
  <sheetViews>
    <sheetView workbookViewId="0"/>
  </sheetViews>
  <sheetFormatPr baseColWidth="10" defaultColWidth="8.83203125" defaultRowHeight="15"/>
  <cols>
    <col min="1" max="1" width="41.33203125" customWidth="1"/>
    <col min="2" max="2" width="15.83203125" customWidth="1"/>
    <col min="3" max="3" width="12.6640625" bestFit="1" customWidth="1"/>
    <col min="4" max="4" width="12.5" customWidth="1"/>
    <col min="5" max="5" width="14.1640625" customWidth="1"/>
    <col min="6" max="6" width="12.6640625" bestFit="1" customWidth="1"/>
    <col min="7" max="7" width="13" customWidth="1"/>
    <col min="8" max="8" width="13.33203125" customWidth="1"/>
    <col min="9" max="9" width="12.6640625" bestFit="1" customWidth="1"/>
    <col min="10" max="10" width="12.6640625" customWidth="1"/>
    <col min="11" max="11" width="12.5" customWidth="1"/>
    <col min="12" max="12" width="13" customWidth="1"/>
    <col min="13" max="13" width="13.33203125" customWidth="1"/>
    <col min="14" max="14" width="13" customWidth="1"/>
  </cols>
  <sheetData>
    <row r="1" spans="1:14">
      <c r="A1" s="237" t="s">
        <v>206</v>
      </c>
      <c r="B1" s="238"/>
      <c r="C1" s="238"/>
      <c r="D1" s="238"/>
      <c r="E1" s="238"/>
      <c r="F1" s="689" t="s">
        <v>144</v>
      </c>
      <c r="G1" s="689"/>
      <c r="H1" s="689"/>
      <c r="I1" s="238"/>
      <c r="J1" s="238"/>
      <c r="K1" s="238"/>
      <c r="L1" s="238"/>
      <c r="M1" s="238"/>
      <c r="N1" s="238"/>
    </row>
    <row r="2" spans="1:14" ht="16">
      <c r="A2" s="235" t="s">
        <v>270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</row>
    <row r="3" spans="1:14">
      <c r="A3" s="237"/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</row>
    <row r="4" spans="1:14" s="10" customFormat="1" ht="16">
      <c r="A4" s="240"/>
      <c r="B4" s="241"/>
      <c r="C4" s="241" t="s">
        <v>63</v>
      </c>
      <c r="D4" s="241" t="s">
        <v>64</v>
      </c>
      <c r="E4" s="241" t="s">
        <v>65</v>
      </c>
      <c r="F4" s="241" t="s">
        <v>66</v>
      </c>
      <c r="G4" s="241" t="s">
        <v>60</v>
      </c>
      <c r="H4" s="241" t="s">
        <v>67</v>
      </c>
      <c r="I4" s="241" t="s">
        <v>68</v>
      </c>
      <c r="J4" s="241" t="s">
        <v>69</v>
      </c>
      <c r="K4" s="241" t="s">
        <v>70</v>
      </c>
      <c r="L4" s="241" t="s">
        <v>71</v>
      </c>
      <c r="M4" s="241" t="s">
        <v>72</v>
      </c>
      <c r="N4" s="241" t="s">
        <v>73</v>
      </c>
    </row>
    <row r="5" spans="1:14" ht="42" customHeight="1">
      <c r="A5" s="403" t="s">
        <v>280</v>
      </c>
      <c r="B5" s="404">
        <f>SUM(C5:N5)</f>
        <v>672000</v>
      </c>
      <c r="C5" s="405">
        <f t="shared" ref="C5:N5" si="0">SUM(C6:C7)</f>
        <v>62000</v>
      </c>
      <c r="D5" s="405">
        <f t="shared" si="0"/>
        <v>50000</v>
      </c>
      <c r="E5" s="405">
        <f t="shared" si="0"/>
        <v>62000</v>
      </c>
      <c r="F5" s="405">
        <f t="shared" si="0"/>
        <v>50000</v>
      </c>
      <c r="G5" s="405">
        <f t="shared" si="0"/>
        <v>62000</v>
      </c>
      <c r="H5" s="405">
        <f t="shared" si="0"/>
        <v>50000</v>
      </c>
      <c r="I5" s="405">
        <f t="shared" si="0"/>
        <v>62000</v>
      </c>
      <c r="J5" s="405">
        <f t="shared" si="0"/>
        <v>50000</v>
      </c>
      <c r="K5" s="405">
        <f t="shared" si="0"/>
        <v>62000</v>
      </c>
      <c r="L5" s="405">
        <f t="shared" si="0"/>
        <v>50000</v>
      </c>
      <c r="M5" s="405">
        <f t="shared" si="0"/>
        <v>62000</v>
      </c>
      <c r="N5" s="405">
        <f t="shared" si="0"/>
        <v>50000</v>
      </c>
    </row>
    <row r="6" spans="1:14" ht="16">
      <c r="A6" s="265" t="s">
        <v>693</v>
      </c>
      <c r="B6" s="382"/>
      <c r="C6" s="442">
        <v>12000</v>
      </c>
      <c r="D6" s="442"/>
      <c r="E6" s="442">
        <v>12000</v>
      </c>
      <c r="F6" s="442"/>
      <c r="G6" s="442">
        <v>12000</v>
      </c>
      <c r="H6" s="442"/>
      <c r="I6" s="442">
        <v>12000</v>
      </c>
      <c r="J6" s="442"/>
      <c r="K6" s="442">
        <v>12000</v>
      </c>
      <c r="L6" s="442"/>
      <c r="M6" s="442">
        <v>12000</v>
      </c>
      <c r="N6" s="442"/>
    </row>
    <row r="7" spans="1:14" ht="16">
      <c r="A7" t="s">
        <v>713</v>
      </c>
      <c r="C7" s="539">
        <v>50000</v>
      </c>
      <c r="D7" s="539">
        <v>50000</v>
      </c>
      <c r="E7" s="539">
        <v>50000</v>
      </c>
      <c r="F7" s="539">
        <v>50000</v>
      </c>
      <c r="G7" s="539">
        <v>50000</v>
      </c>
      <c r="H7" s="539">
        <v>50000</v>
      </c>
      <c r="I7" s="539">
        <v>50000</v>
      </c>
      <c r="J7" s="539">
        <v>50000</v>
      </c>
      <c r="K7" s="539">
        <v>50000</v>
      </c>
      <c r="L7" s="539">
        <v>50000</v>
      </c>
      <c r="M7" s="539">
        <v>50000</v>
      </c>
      <c r="N7" s="539">
        <v>50000</v>
      </c>
    </row>
  </sheetData>
  <mergeCells count="1">
    <mergeCell ref="F1:H1"/>
  </mergeCells>
  <hyperlinks>
    <hyperlink ref="A1" location="Бюджет" display="Бюджет" xr:uid="{00000000-0004-0000-1100-000000000000}"/>
    <hyperlink ref="F1:H1" location="Бюджет!R1C1" display="2-0014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7"/>
  <sheetViews>
    <sheetView workbookViewId="0">
      <selection activeCell="A6" sqref="A6:XFD6"/>
    </sheetView>
  </sheetViews>
  <sheetFormatPr baseColWidth="10" defaultColWidth="9.1640625" defaultRowHeight="15"/>
  <cols>
    <col min="1" max="1" width="36.6640625" customWidth="1"/>
    <col min="2" max="2" width="12.6640625" customWidth="1"/>
    <col min="3" max="8" width="11.5" bestFit="1" customWidth="1"/>
    <col min="9" max="9" width="12.6640625" bestFit="1" customWidth="1"/>
    <col min="10" max="10" width="11.5" bestFit="1" customWidth="1"/>
    <col min="11" max="11" width="12.6640625" bestFit="1" customWidth="1"/>
    <col min="12" max="14" width="11.5" bestFit="1" customWidth="1"/>
  </cols>
  <sheetData>
    <row r="1" spans="1:14">
      <c r="A1" s="237" t="s">
        <v>206</v>
      </c>
      <c r="B1" s="238"/>
      <c r="C1" s="238"/>
      <c r="D1" s="238"/>
      <c r="E1" s="238"/>
      <c r="F1" s="689" t="s">
        <v>145</v>
      </c>
      <c r="G1" s="689"/>
      <c r="H1" s="689"/>
      <c r="I1" s="238"/>
      <c r="J1" s="238"/>
      <c r="K1" s="238"/>
      <c r="L1" s="238"/>
      <c r="M1" s="238"/>
      <c r="N1" s="238"/>
    </row>
    <row r="2" spans="1:14" ht="16">
      <c r="A2" s="235" t="s">
        <v>317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</row>
    <row r="3" spans="1:14">
      <c r="A3" s="237"/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</row>
    <row r="4" spans="1:14" s="10" customFormat="1" ht="16">
      <c r="A4" s="240"/>
      <c r="B4" s="241"/>
      <c r="C4" s="241" t="s">
        <v>63</v>
      </c>
      <c r="D4" s="241" t="s">
        <v>64</v>
      </c>
      <c r="E4" s="241" t="s">
        <v>65</v>
      </c>
      <c r="F4" s="241" t="s">
        <v>66</v>
      </c>
      <c r="G4" s="241" t="s">
        <v>60</v>
      </c>
      <c r="H4" s="241" t="s">
        <v>67</v>
      </c>
      <c r="I4" s="241" t="s">
        <v>68</v>
      </c>
      <c r="J4" s="241" t="s">
        <v>69</v>
      </c>
      <c r="K4" s="241" t="s">
        <v>70</v>
      </c>
      <c r="L4" s="241" t="s">
        <v>71</v>
      </c>
      <c r="M4" s="241" t="s">
        <v>72</v>
      </c>
      <c r="N4" s="241" t="s">
        <v>73</v>
      </c>
    </row>
    <row r="5" spans="1:14" s="10" customFormat="1" ht="51">
      <c r="A5" s="401" t="s">
        <v>300</v>
      </c>
      <c r="B5" s="402">
        <f>SUM(C5:N5)</f>
        <v>180000</v>
      </c>
      <c r="C5" s="400">
        <v>15000</v>
      </c>
      <c r="D5" s="400">
        <v>15000</v>
      </c>
      <c r="E5" s="400">
        <v>15000</v>
      </c>
      <c r="F5" s="400">
        <v>15000</v>
      </c>
      <c r="G5" s="400">
        <v>15000</v>
      </c>
      <c r="H5" s="400">
        <v>15000</v>
      </c>
      <c r="I5" s="400">
        <v>15000</v>
      </c>
      <c r="J5" s="400">
        <v>15000</v>
      </c>
      <c r="K5" s="400">
        <v>15000</v>
      </c>
      <c r="L5" s="400">
        <v>15000</v>
      </c>
      <c r="M5" s="400">
        <v>15000</v>
      </c>
      <c r="N5" s="400">
        <v>15000</v>
      </c>
    </row>
    <row r="6" spans="1:14">
      <c r="A6" s="238"/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</row>
    <row r="7" spans="1:14">
      <c r="A7" s="238"/>
      <c r="B7" s="238"/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</row>
  </sheetData>
  <mergeCells count="1">
    <mergeCell ref="F1:H1"/>
  </mergeCells>
  <hyperlinks>
    <hyperlink ref="A1" location="Бюджет" display="Бюджет" xr:uid="{00000000-0004-0000-1200-000000000000}"/>
    <hyperlink ref="F1:H1" location="Бюджет" display="2-0015" xr:uid="{00000000-0004-0000-1200-000001000000}"/>
  </hyperlinks>
  <pageMargins left="0.7" right="0.7" top="0.75" bottom="0.75" header="0.3" footer="0.3"/>
  <pageSetup paperSize="9" orientation="portrait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2"/>
  <sheetViews>
    <sheetView workbookViewId="0"/>
  </sheetViews>
  <sheetFormatPr baseColWidth="10" defaultColWidth="9.1640625" defaultRowHeight="15"/>
  <cols>
    <col min="1" max="1" width="14.83203125" customWidth="1"/>
    <col min="2" max="2" width="14.6640625" customWidth="1"/>
    <col min="3" max="14" width="12.6640625" bestFit="1" customWidth="1"/>
  </cols>
  <sheetData>
    <row r="1" spans="1:14">
      <c r="A1" s="237" t="s">
        <v>206</v>
      </c>
      <c r="B1" s="238"/>
      <c r="C1" s="238"/>
      <c r="D1" s="238"/>
      <c r="E1" s="238"/>
      <c r="F1" s="689" t="s">
        <v>146</v>
      </c>
      <c r="G1" s="689"/>
      <c r="H1" s="689"/>
      <c r="I1" s="238"/>
      <c r="J1" s="238"/>
      <c r="K1" s="238"/>
      <c r="L1" s="238"/>
      <c r="M1" s="238"/>
      <c r="N1" s="238"/>
    </row>
    <row r="2" spans="1:14">
      <c r="A2" s="237"/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</row>
    <row r="3" spans="1:14" ht="19.5" customHeight="1">
      <c r="A3" s="242" t="s">
        <v>706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</row>
    <row r="4" spans="1:14" ht="35.25" customHeight="1">
      <c r="A4" s="691" t="s">
        <v>735</v>
      </c>
      <c r="B4" s="691"/>
      <c r="C4" s="691"/>
      <c r="D4" s="691"/>
      <c r="E4" s="691"/>
      <c r="F4" s="691"/>
      <c r="G4" s="691"/>
      <c r="H4" s="691"/>
      <c r="I4" s="691"/>
      <c r="J4" s="691"/>
      <c r="K4" s="691"/>
      <c r="L4" s="691"/>
      <c r="M4" s="691"/>
      <c r="N4" s="691"/>
    </row>
    <row r="5" spans="1:14" ht="22.5" customHeight="1">
      <c r="A5" s="692" t="s">
        <v>736</v>
      </c>
      <c r="B5" s="693"/>
      <c r="C5" s="693"/>
      <c r="D5" s="693"/>
      <c r="E5" s="693"/>
      <c r="F5" s="693"/>
      <c r="G5" s="693"/>
      <c r="H5" s="693"/>
      <c r="I5" s="693"/>
      <c r="J5" s="693"/>
      <c r="K5" s="693"/>
      <c r="L5" s="693"/>
      <c r="M5" s="693"/>
      <c r="N5" s="693"/>
    </row>
    <row r="6" spans="1:14" ht="22.5" customHeight="1">
      <c r="A6" s="692" t="s">
        <v>737</v>
      </c>
      <c r="B6" s="693"/>
      <c r="C6" s="693"/>
      <c r="D6" s="693"/>
      <c r="E6" s="693"/>
      <c r="F6" s="693"/>
      <c r="G6" s="693"/>
      <c r="H6" s="693"/>
      <c r="I6" s="693"/>
      <c r="J6" s="693"/>
      <c r="K6" s="693"/>
      <c r="L6" s="693"/>
      <c r="M6" s="693"/>
      <c r="N6" s="693"/>
    </row>
    <row r="7" spans="1:14">
      <c r="A7" s="237"/>
      <c r="B7" s="238"/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</row>
    <row r="8" spans="1:14" s="10" customFormat="1" ht="16">
      <c r="A8" s="240"/>
      <c r="B8" s="241"/>
      <c r="C8" s="241" t="s">
        <v>63</v>
      </c>
      <c r="D8" s="241" t="s">
        <v>64</v>
      </c>
      <c r="E8" s="241" t="s">
        <v>65</v>
      </c>
      <c r="F8" s="241" t="s">
        <v>66</v>
      </c>
      <c r="G8" s="241" t="s">
        <v>60</v>
      </c>
      <c r="H8" s="241" t="s">
        <v>67</v>
      </c>
      <c r="I8" s="241" t="s">
        <v>68</v>
      </c>
      <c r="J8" s="241" t="s">
        <v>69</v>
      </c>
      <c r="K8" s="241" t="s">
        <v>70</v>
      </c>
      <c r="L8" s="241" t="s">
        <v>71</v>
      </c>
      <c r="M8" s="241" t="s">
        <v>72</v>
      </c>
      <c r="N8" s="241" t="s">
        <v>73</v>
      </c>
    </row>
    <row r="9" spans="1:14" s="10" customFormat="1" ht="34">
      <c r="A9" s="406" t="s">
        <v>121</v>
      </c>
      <c r="B9" s="402">
        <f>SUM(C9:N9)</f>
        <v>2676247.12</v>
      </c>
      <c r="C9" s="400">
        <f t="shared" ref="C9:N9" si="0">SUM(C10:C12)</f>
        <v>216924.38</v>
      </c>
      <c r="D9" s="400">
        <f t="shared" si="0"/>
        <v>216924.38</v>
      </c>
      <c r="E9" s="400">
        <f t="shared" si="0"/>
        <v>216924.38</v>
      </c>
      <c r="F9" s="400">
        <f t="shared" si="0"/>
        <v>216924.38</v>
      </c>
      <c r="G9" s="400">
        <f t="shared" si="0"/>
        <v>226068.7</v>
      </c>
      <c r="H9" s="400">
        <f t="shared" si="0"/>
        <v>226068.7</v>
      </c>
      <c r="I9" s="400">
        <f t="shared" si="0"/>
        <v>226068.7</v>
      </c>
      <c r="J9" s="400">
        <f t="shared" si="0"/>
        <v>226068.7</v>
      </c>
      <c r="K9" s="400">
        <f t="shared" si="0"/>
        <v>226068.7</v>
      </c>
      <c r="L9" s="400">
        <f t="shared" si="0"/>
        <v>226068.7</v>
      </c>
      <c r="M9" s="400">
        <f t="shared" si="0"/>
        <v>226068.7</v>
      </c>
      <c r="N9" s="400">
        <f t="shared" si="0"/>
        <v>226068.7</v>
      </c>
    </row>
    <row r="10" spans="1:14">
      <c r="A10" s="238" t="s">
        <v>733</v>
      </c>
      <c r="B10" s="238"/>
      <c r="C10" s="238">
        <v>33038</v>
      </c>
      <c r="D10" s="238">
        <v>33038</v>
      </c>
      <c r="E10" s="238">
        <v>33038</v>
      </c>
      <c r="F10" s="238">
        <v>33038</v>
      </c>
      <c r="G10" s="238">
        <v>33038</v>
      </c>
      <c r="H10" s="238">
        <v>33038</v>
      </c>
      <c r="I10" s="238">
        <v>33038</v>
      </c>
      <c r="J10" s="238">
        <v>33038</v>
      </c>
      <c r="K10" s="238">
        <v>33038</v>
      </c>
      <c r="L10" s="238">
        <v>33038</v>
      </c>
      <c r="M10" s="238">
        <v>33038</v>
      </c>
      <c r="N10" s="238">
        <v>33038</v>
      </c>
    </row>
    <row r="11" spans="1:14">
      <c r="A11" t="s">
        <v>734</v>
      </c>
      <c r="C11">
        <v>182886.38</v>
      </c>
      <c r="D11">
        <v>182886.38</v>
      </c>
      <c r="E11">
        <v>182886.38</v>
      </c>
      <c r="F11">
        <v>182886.38</v>
      </c>
      <c r="G11">
        <v>192030.7</v>
      </c>
      <c r="H11">
        <v>192030.7</v>
      </c>
      <c r="I11">
        <v>192030.7</v>
      </c>
      <c r="J11">
        <v>192030.7</v>
      </c>
      <c r="K11">
        <v>192030.7</v>
      </c>
      <c r="L11">
        <v>192030.7</v>
      </c>
      <c r="M11">
        <v>192030.7</v>
      </c>
      <c r="N11">
        <v>192030.7</v>
      </c>
    </row>
    <row r="12" spans="1:14">
      <c r="A12" t="s">
        <v>738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</row>
  </sheetData>
  <mergeCells count="4">
    <mergeCell ref="F1:H1"/>
    <mergeCell ref="A4:N4"/>
    <mergeCell ref="A5:N5"/>
    <mergeCell ref="A6:N6"/>
  </mergeCells>
  <hyperlinks>
    <hyperlink ref="A1" location="Бюджет" display="Бюджет" xr:uid="{00000000-0004-0000-1300-000000000000}"/>
    <hyperlink ref="F1:H1" location="Бюджет" display="2-0016" xr:uid="{00000000-0004-0000-1300-000001000000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10"/>
  <sheetViews>
    <sheetView workbookViewId="0"/>
  </sheetViews>
  <sheetFormatPr baseColWidth="10" defaultColWidth="9.1640625" defaultRowHeight="15"/>
  <cols>
    <col min="1" max="1" width="31.1640625" customWidth="1"/>
    <col min="2" max="2" width="16.33203125" customWidth="1"/>
    <col min="3" max="3" width="12.6640625" bestFit="1" customWidth="1"/>
    <col min="4" max="4" width="14.5" customWidth="1"/>
    <col min="5" max="7" width="12.6640625" bestFit="1" customWidth="1"/>
    <col min="8" max="11" width="11.5" bestFit="1" customWidth="1"/>
    <col min="12" max="12" width="14.1640625" customWidth="1"/>
    <col min="13" max="14" width="12.6640625" bestFit="1" customWidth="1"/>
  </cols>
  <sheetData>
    <row r="1" spans="1:14">
      <c r="A1" s="237" t="s">
        <v>206</v>
      </c>
      <c r="B1" s="238"/>
      <c r="C1" s="238"/>
      <c r="D1" s="238"/>
      <c r="E1" s="238"/>
      <c r="F1" s="689" t="s">
        <v>147</v>
      </c>
      <c r="G1" s="689"/>
      <c r="H1" s="689"/>
      <c r="I1" s="238"/>
      <c r="J1" s="238"/>
      <c r="K1" s="238"/>
      <c r="L1" s="238"/>
      <c r="M1" s="238"/>
      <c r="N1" s="238"/>
    </row>
    <row r="2" spans="1:14">
      <c r="A2" s="237"/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</row>
    <row r="3" spans="1:14" ht="30.75" customHeight="1">
      <c r="A3" s="694" t="s">
        <v>673</v>
      </c>
      <c r="B3" s="694"/>
      <c r="C3" s="694"/>
      <c r="D3" s="694"/>
      <c r="E3" s="694"/>
      <c r="F3" s="694"/>
      <c r="G3" s="694"/>
      <c r="H3" s="694"/>
      <c r="I3" s="694"/>
      <c r="J3" s="694"/>
      <c r="K3" s="694"/>
      <c r="L3" s="694"/>
      <c r="M3" s="694"/>
      <c r="N3" s="694"/>
    </row>
    <row r="4" spans="1:14">
      <c r="A4" s="237"/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</row>
    <row r="5" spans="1:14">
      <c r="A5" s="237"/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</row>
    <row r="6" spans="1:14" s="10" customFormat="1" ht="16">
      <c r="A6" s="240"/>
      <c r="B6" s="241"/>
      <c r="C6" s="241" t="s">
        <v>63</v>
      </c>
      <c r="D6" s="241" t="s">
        <v>64</v>
      </c>
      <c r="E6" s="241" t="s">
        <v>65</v>
      </c>
      <c r="F6" s="241" t="s">
        <v>66</v>
      </c>
      <c r="G6" s="241" t="s">
        <v>60</v>
      </c>
      <c r="H6" s="241" t="s">
        <v>67</v>
      </c>
      <c r="I6" s="241" t="s">
        <v>68</v>
      </c>
      <c r="J6" s="241" t="s">
        <v>69</v>
      </c>
      <c r="K6" s="241" t="s">
        <v>70</v>
      </c>
      <c r="L6" s="241" t="s">
        <v>71</v>
      </c>
      <c r="M6" s="241" t="s">
        <v>72</v>
      </c>
      <c r="N6" s="241" t="s">
        <v>73</v>
      </c>
    </row>
    <row r="7" spans="1:14" s="10" customFormat="1" ht="17">
      <c r="A7" s="510" t="s">
        <v>675</v>
      </c>
      <c r="B7" s="511">
        <f>SUM(C7:N7)</f>
        <v>1258772</v>
      </c>
      <c r="C7" s="512">
        <f>SUM(C8:C10)</f>
        <v>155731</v>
      </c>
      <c r="D7" s="512">
        <f t="shared" ref="D7:N7" si="0">SUM(D8:D10)</f>
        <v>135731</v>
      </c>
      <c r="E7" s="512">
        <f t="shared" si="0"/>
        <v>135731</v>
      </c>
      <c r="F7" s="512">
        <f t="shared" si="0"/>
        <v>125731</v>
      </c>
      <c r="G7" s="512">
        <f t="shared" si="0"/>
        <v>95731</v>
      </c>
      <c r="H7" s="512">
        <f t="shared" si="0"/>
        <v>32731</v>
      </c>
      <c r="I7" s="512">
        <f t="shared" si="0"/>
        <v>31731</v>
      </c>
      <c r="J7" s="512">
        <f t="shared" si="0"/>
        <v>32731</v>
      </c>
      <c r="K7" s="512">
        <f t="shared" si="0"/>
        <v>95731</v>
      </c>
      <c r="L7" s="512">
        <f t="shared" si="0"/>
        <v>125731</v>
      </c>
      <c r="M7" s="512">
        <f t="shared" si="0"/>
        <v>135731</v>
      </c>
      <c r="N7" s="512">
        <f t="shared" si="0"/>
        <v>155731</v>
      </c>
    </row>
    <row r="8" spans="1:14" ht="17">
      <c r="A8" s="513" t="s">
        <v>672</v>
      </c>
      <c r="B8" s="383"/>
      <c r="C8" s="514">
        <v>130000</v>
      </c>
      <c r="D8" s="514">
        <v>110000</v>
      </c>
      <c r="E8" s="514">
        <v>110000</v>
      </c>
      <c r="F8" s="514">
        <v>100000</v>
      </c>
      <c r="G8" s="514">
        <v>70000</v>
      </c>
      <c r="H8" s="514">
        <v>7000</v>
      </c>
      <c r="I8" s="514">
        <v>6000</v>
      </c>
      <c r="J8" s="514">
        <v>7000</v>
      </c>
      <c r="K8" s="514">
        <v>70000</v>
      </c>
      <c r="L8" s="514">
        <v>100000</v>
      </c>
      <c r="M8" s="514">
        <v>110000</v>
      </c>
      <c r="N8" s="514">
        <v>130000</v>
      </c>
    </row>
    <row r="9" spans="1:14" ht="16">
      <c r="A9" s="228" t="s">
        <v>671</v>
      </c>
      <c r="B9" s="228"/>
      <c r="C9" s="515">
        <v>6500</v>
      </c>
      <c r="D9" s="515">
        <v>6500</v>
      </c>
      <c r="E9" s="515">
        <v>6500</v>
      </c>
      <c r="F9" s="515">
        <v>6500</v>
      </c>
      <c r="G9" s="515">
        <v>6500</v>
      </c>
      <c r="H9" s="515">
        <v>6500</v>
      </c>
      <c r="I9" s="515">
        <v>6500</v>
      </c>
      <c r="J9" s="515">
        <v>6500</v>
      </c>
      <c r="K9" s="515">
        <v>6500</v>
      </c>
      <c r="L9" s="515">
        <v>6500</v>
      </c>
      <c r="M9" s="515">
        <v>6500</v>
      </c>
      <c r="N9" s="515">
        <v>6500</v>
      </c>
    </row>
    <row r="10" spans="1:14" ht="16">
      <c r="A10" s="228" t="s">
        <v>674</v>
      </c>
      <c r="B10" s="228"/>
      <c r="C10" s="515">
        <v>19231</v>
      </c>
      <c r="D10" s="515">
        <v>19231</v>
      </c>
      <c r="E10" s="515">
        <v>19231</v>
      </c>
      <c r="F10" s="515">
        <v>19231</v>
      </c>
      <c r="G10" s="515">
        <v>19231</v>
      </c>
      <c r="H10" s="515">
        <v>19231</v>
      </c>
      <c r="I10" s="515">
        <v>19231</v>
      </c>
      <c r="J10" s="515">
        <v>19231</v>
      </c>
      <c r="K10" s="515">
        <v>19231</v>
      </c>
      <c r="L10" s="515">
        <v>19231</v>
      </c>
      <c r="M10" s="515">
        <v>19231</v>
      </c>
      <c r="N10" s="515">
        <v>19231</v>
      </c>
    </row>
  </sheetData>
  <mergeCells count="2">
    <mergeCell ref="F1:H1"/>
    <mergeCell ref="A3:N3"/>
  </mergeCells>
  <hyperlinks>
    <hyperlink ref="A1" location="Бюджет" display="Бюджет" xr:uid="{00000000-0004-0000-1400-000000000000}"/>
    <hyperlink ref="F1:H1" location="Бюджет" display="2-0017" xr:uid="{00000000-0004-0000-1400-000001000000}"/>
  </hyperlinks>
  <pageMargins left="0.7" right="0.7" top="0.75" bottom="0.75" header="0.3" footer="0.3"/>
  <pageSetup paperSize="9" orientation="portrait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12"/>
  <sheetViews>
    <sheetView workbookViewId="0"/>
  </sheetViews>
  <sheetFormatPr baseColWidth="10" defaultColWidth="9.1640625" defaultRowHeight="15"/>
  <cols>
    <col min="1" max="1" width="34.5" customWidth="1"/>
    <col min="2" max="2" width="12.6640625" customWidth="1"/>
    <col min="3" max="14" width="11.5" bestFit="1" customWidth="1"/>
  </cols>
  <sheetData>
    <row r="1" spans="1:14" ht="16">
      <c r="A1" s="250" t="s">
        <v>206</v>
      </c>
      <c r="B1" s="251"/>
      <c r="C1" s="251"/>
      <c r="D1" s="251"/>
      <c r="E1" s="251"/>
      <c r="F1" s="689" t="s">
        <v>148</v>
      </c>
      <c r="G1" s="689"/>
      <c r="H1" s="689"/>
      <c r="I1" s="251"/>
      <c r="J1" s="251"/>
      <c r="K1" s="251"/>
      <c r="L1" s="251"/>
      <c r="M1" s="251"/>
      <c r="N1" s="251"/>
    </row>
    <row r="2" spans="1:14" ht="16">
      <c r="A2" s="250"/>
      <c r="B2" s="251"/>
      <c r="C2" s="251"/>
      <c r="D2" s="251"/>
      <c r="E2" s="251"/>
      <c r="F2" s="252"/>
      <c r="G2" s="252"/>
      <c r="H2" s="252"/>
      <c r="I2" s="251"/>
      <c r="J2" s="251"/>
      <c r="K2" s="251"/>
      <c r="L2" s="251"/>
      <c r="M2" s="251"/>
      <c r="N2" s="251"/>
    </row>
    <row r="3" spans="1:14" ht="38.25" customHeight="1">
      <c r="A3" s="694" t="s">
        <v>700</v>
      </c>
      <c r="B3" s="694"/>
      <c r="C3" s="694"/>
      <c r="D3" s="694"/>
      <c r="E3" s="694"/>
      <c r="F3" s="694"/>
      <c r="G3" s="694"/>
      <c r="H3" s="694"/>
      <c r="I3" s="694"/>
      <c r="J3" s="694"/>
      <c r="K3" s="694"/>
      <c r="L3" s="694"/>
      <c r="M3" s="694"/>
      <c r="N3" s="694"/>
    </row>
    <row r="4" spans="1:14" ht="16">
      <c r="A4" s="250"/>
      <c r="B4" s="251"/>
      <c r="C4" s="251"/>
      <c r="D4" s="251"/>
      <c r="E4" s="251"/>
      <c r="F4" s="252"/>
      <c r="G4" s="252"/>
      <c r="H4" s="252"/>
      <c r="I4" s="251"/>
      <c r="J4" s="251"/>
      <c r="K4" s="251"/>
      <c r="L4" s="251"/>
      <c r="M4" s="251"/>
      <c r="N4" s="251"/>
    </row>
    <row r="5" spans="1:14" s="10" customFormat="1" ht="16">
      <c r="A5" s="253"/>
      <c r="B5" s="254"/>
      <c r="C5" s="254" t="s">
        <v>63</v>
      </c>
      <c r="D5" s="254" t="s">
        <v>64</v>
      </c>
      <c r="E5" s="254" t="s">
        <v>65</v>
      </c>
      <c r="F5" s="254" t="s">
        <v>66</v>
      </c>
      <c r="G5" s="254" t="s">
        <v>60</v>
      </c>
      <c r="H5" s="254" t="s">
        <v>67</v>
      </c>
      <c r="I5" s="254" t="s">
        <v>68</v>
      </c>
      <c r="J5" s="254" t="s">
        <v>69</v>
      </c>
      <c r="K5" s="254" t="s">
        <v>70</v>
      </c>
      <c r="L5" s="254" t="s">
        <v>71</v>
      </c>
      <c r="M5" s="254" t="s">
        <v>72</v>
      </c>
      <c r="N5" s="254" t="s">
        <v>73</v>
      </c>
    </row>
    <row r="6" spans="1:14" s="10" customFormat="1" ht="34">
      <c r="A6" s="233" t="s">
        <v>690</v>
      </c>
      <c r="B6" s="244">
        <f>SUM(C6:N6)</f>
        <v>180000</v>
      </c>
      <c r="C6" s="245">
        <v>15000</v>
      </c>
      <c r="D6" s="245">
        <v>15000</v>
      </c>
      <c r="E6" s="245">
        <v>15000</v>
      </c>
      <c r="F6" s="245">
        <v>15000</v>
      </c>
      <c r="G6" s="245">
        <v>15000</v>
      </c>
      <c r="H6" s="245">
        <v>15000</v>
      </c>
      <c r="I6" s="245">
        <v>15000</v>
      </c>
      <c r="J6" s="245">
        <v>15000</v>
      </c>
      <c r="K6" s="245">
        <v>15000</v>
      </c>
      <c r="L6" s="245">
        <v>15000</v>
      </c>
      <c r="M6" s="245">
        <v>15000</v>
      </c>
      <c r="N6" s="245">
        <v>15000</v>
      </c>
    </row>
    <row r="7" spans="1:14" ht="16">
      <c r="A7" s="251"/>
      <c r="B7" s="251"/>
      <c r="C7" s="251"/>
      <c r="D7" s="251"/>
      <c r="E7" s="251"/>
      <c r="F7" s="251"/>
      <c r="G7" s="251"/>
      <c r="H7" s="251"/>
      <c r="I7" s="251"/>
      <c r="J7" s="251"/>
      <c r="K7" s="251"/>
      <c r="L7" s="251"/>
      <c r="M7" s="251"/>
      <c r="N7" s="251"/>
    </row>
    <row r="8" spans="1:14" ht="16">
      <c r="A8" s="251"/>
      <c r="B8" s="251"/>
      <c r="C8" s="251"/>
      <c r="D8" s="251"/>
      <c r="E8" s="251"/>
      <c r="F8" s="251"/>
      <c r="G8" s="251"/>
      <c r="H8" s="251"/>
      <c r="I8" s="251"/>
      <c r="J8" s="251"/>
      <c r="K8" s="251"/>
      <c r="L8" s="251"/>
      <c r="M8" s="251"/>
      <c r="N8" s="251"/>
    </row>
    <row r="9" spans="1:14" ht="16">
      <c r="A9" s="251"/>
      <c r="B9" s="251"/>
      <c r="C9" s="251"/>
      <c r="D9" s="251"/>
      <c r="E9" s="251"/>
      <c r="F9" s="251"/>
      <c r="G9" s="251"/>
      <c r="H9" s="251"/>
      <c r="I9" s="251"/>
      <c r="J9" s="251"/>
      <c r="K9" s="251"/>
      <c r="L9" s="251"/>
      <c r="M9" s="251"/>
      <c r="N9" s="251"/>
    </row>
    <row r="10" spans="1:14" ht="16">
      <c r="A10" s="251"/>
      <c r="B10" s="251"/>
      <c r="C10" s="251"/>
      <c r="D10" s="251"/>
      <c r="E10" s="251"/>
      <c r="F10" s="251"/>
      <c r="G10" s="251"/>
      <c r="H10" s="251"/>
      <c r="I10" s="251"/>
      <c r="J10" s="251"/>
      <c r="K10" s="251"/>
      <c r="L10" s="251"/>
      <c r="M10" s="251"/>
      <c r="N10" s="251"/>
    </row>
    <row r="11" spans="1:14" ht="16">
      <c r="A11" s="251"/>
      <c r="B11" s="251"/>
      <c r="C11" s="251"/>
      <c r="D11" s="251"/>
      <c r="E11" s="251"/>
      <c r="F11" s="251"/>
      <c r="G11" s="251"/>
      <c r="H11" s="251"/>
      <c r="I11" s="251"/>
      <c r="J11" s="251"/>
      <c r="K11" s="251"/>
      <c r="L11" s="251"/>
      <c r="M11" s="251"/>
      <c r="N11" s="251"/>
    </row>
    <row r="12" spans="1:14" ht="16">
      <c r="A12" s="251"/>
      <c r="B12" s="251"/>
      <c r="C12" s="251"/>
      <c r="D12" s="251"/>
      <c r="E12" s="251"/>
      <c r="F12" s="251"/>
      <c r="G12" s="251"/>
      <c r="H12" s="251"/>
      <c r="I12" s="251"/>
      <c r="J12" s="251"/>
      <c r="K12" s="251"/>
      <c r="L12" s="251"/>
      <c r="M12" s="251"/>
      <c r="N12" s="251"/>
    </row>
  </sheetData>
  <mergeCells count="2">
    <mergeCell ref="F1:H1"/>
    <mergeCell ref="A3:N3"/>
  </mergeCells>
  <hyperlinks>
    <hyperlink ref="A1" location="Бюджет" display="Бюджет" xr:uid="{00000000-0004-0000-1500-000000000000}"/>
    <hyperlink ref="F1:H1" location="Бюджет" display="2-0018" xr:uid="{00000000-0004-0000-1500-000001000000}"/>
  </hyperlinks>
  <pageMargins left="0.7" right="0.7" top="0.75" bottom="0.75" header="0.3" footer="0.3"/>
  <pageSetup paperSize="9" orientation="portrait" horizontalDpi="0" verticalDpi="0"/>
  <legacy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8"/>
  <sheetViews>
    <sheetView workbookViewId="0">
      <selection activeCell="B7" sqref="B7"/>
    </sheetView>
  </sheetViews>
  <sheetFormatPr baseColWidth="10" defaultColWidth="8.83203125" defaultRowHeight="15"/>
  <cols>
    <col min="1" max="1" width="46.33203125" customWidth="1"/>
    <col min="2" max="2" width="12.6640625" customWidth="1"/>
    <col min="3" max="14" width="11.5" bestFit="1" customWidth="1"/>
  </cols>
  <sheetData>
    <row r="1" spans="1:14">
      <c r="A1" s="237" t="s">
        <v>206</v>
      </c>
      <c r="B1" s="238"/>
      <c r="C1" s="238"/>
      <c r="D1" s="238"/>
      <c r="E1" s="238"/>
      <c r="F1" s="689" t="s">
        <v>149</v>
      </c>
      <c r="G1" s="689"/>
      <c r="H1" s="689"/>
      <c r="I1" s="238"/>
      <c r="J1" s="238"/>
      <c r="K1" s="238"/>
      <c r="L1" s="238"/>
      <c r="M1" s="238"/>
      <c r="N1" s="238"/>
    </row>
    <row r="2" spans="1:14" s="236" customFormat="1" ht="35.25" customHeight="1">
      <c r="A2" s="694" t="s">
        <v>633</v>
      </c>
      <c r="B2" s="694"/>
      <c r="C2" s="694"/>
      <c r="D2" s="694"/>
      <c r="E2" s="694"/>
      <c r="F2" s="694"/>
      <c r="G2" s="694"/>
      <c r="H2" s="694"/>
      <c r="I2" s="694"/>
      <c r="J2" s="694"/>
      <c r="K2" s="694"/>
      <c r="L2" s="694"/>
      <c r="M2" s="694"/>
      <c r="N2" s="694"/>
    </row>
    <row r="3" spans="1:14" s="256" customFormat="1" ht="29.25" customHeight="1">
      <c r="A3" s="694" t="s">
        <v>634</v>
      </c>
      <c r="B3" s="694"/>
      <c r="C3" s="694"/>
      <c r="D3" s="694"/>
      <c r="E3" s="694"/>
      <c r="F3" s="694"/>
      <c r="G3" s="694"/>
      <c r="H3" s="694"/>
      <c r="I3" s="694"/>
      <c r="J3" s="694"/>
      <c r="K3" s="694"/>
      <c r="L3" s="694"/>
      <c r="M3" s="694"/>
      <c r="N3" s="694"/>
    </row>
    <row r="4" spans="1:14" s="255" customFormat="1" ht="33.75" customHeight="1">
      <c r="A4" s="694"/>
      <c r="B4" s="694"/>
      <c r="C4" s="694"/>
      <c r="D4" s="694"/>
      <c r="E4" s="694"/>
      <c r="F4" s="694"/>
      <c r="G4" s="694"/>
      <c r="H4" s="694"/>
      <c r="I4" s="694"/>
      <c r="J4" s="694"/>
      <c r="K4" s="694"/>
      <c r="L4" s="694"/>
      <c r="M4" s="694"/>
      <c r="N4" s="694"/>
    </row>
    <row r="5" spans="1:14" s="255" customFormat="1" ht="33.75" customHeight="1">
      <c r="A5" s="257"/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</row>
    <row r="6" spans="1:14" s="29" customFormat="1" ht="16">
      <c r="A6" s="240"/>
      <c r="B6" s="241"/>
      <c r="C6" s="241" t="s">
        <v>63</v>
      </c>
      <c r="D6" s="241" t="s">
        <v>64</v>
      </c>
      <c r="E6" s="241" t="s">
        <v>65</v>
      </c>
      <c r="F6" s="241" t="s">
        <v>66</v>
      </c>
      <c r="G6" s="241" t="s">
        <v>60</v>
      </c>
      <c r="H6" s="241" t="s">
        <v>67</v>
      </c>
      <c r="I6" s="241" t="s">
        <v>68</v>
      </c>
      <c r="J6" s="241" t="s">
        <v>69</v>
      </c>
      <c r="K6" s="241" t="s">
        <v>70</v>
      </c>
      <c r="L6" s="241" t="s">
        <v>71</v>
      </c>
      <c r="M6" s="241" t="s">
        <v>72</v>
      </c>
      <c r="N6" s="241" t="s">
        <v>73</v>
      </c>
    </row>
    <row r="7" spans="1:14" s="29" customFormat="1" ht="17">
      <c r="A7" s="401" t="s">
        <v>212</v>
      </c>
      <c r="B7" s="402">
        <f>SUM(C7:N7)</f>
        <v>840000</v>
      </c>
      <c r="C7" s="400">
        <v>70000</v>
      </c>
      <c r="D7" s="400">
        <v>70000</v>
      </c>
      <c r="E7" s="400">
        <v>70000</v>
      </c>
      <c r="F7" s="400">
        <v>70000</v>
      </c>
      <c r="G7" s="400">
        <v>70000</v>
      </c>
      <c r="H7" s="400">
        <v>70000</v>
      </c>
      <c r="I7" s="400">
        <v>70000</v>
      </c>
      <c r="J7" s="400">
        <v>70000</v>
      </c>
      <c r="K7" s="400">
        <v>70000</v>
      </c>
      <c r="L7" s="400">
        <v>70000</v>
      </c>
      <c r="M7" s="400">
        <v>70000</v>
      </c>
      <c r="N7" s="400">
        <v>70000</v>
      </c>
    </row>
    <row r="8" spans="1:14">
      <c r="A8" s="238"/>
      <c r="B8" s="238"/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</row>
  </sheetData>
  <mergeCells count="4">
    <mergeCell ref="F1:H1"/>
    <mergeCell ref="A3:N3"/>
    <mergeCell ref="A4:N4"/>
    <mergeCell ref="A2:N2"/>
  </mergeCells>
  <hyperlinks>
    <hyperlink ref="A1" location="Бюджет" display="Бюджет" xr:uid="{00000000-0004-0000-1600-000000000000}"/>
    <hyperlink ref="F1:H1" location="Бюджет" display="2-0019" xr:uid="{00000000-0004-0000-1600-000001000000}"/>
  </hyperlinks>
  <pageMargins left="0.7" right="0.7" top="0.75" bottom="0.75" header="0.3" footer="0.3"/>
  <pageSetup paperSize="9" orientation="portrait" horizontalDpi="0" verticalDpi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V26"/>
  <sheetViews>
    <sheetView workbookViewId="0"/>
  </sheetViews>
  <sheetFormatPr baseColWidth="10" defaultColWidth="8.83203125" defaultRowHeight="15"/>
  <cols>
    <col min="1" max="1" width="46" customWidth="1"/>
    <col min="2" max="2" width="11.5" bestFit="1" customWidth="1"/>
    <col min="3" max="3" width="5" customWidth="1"/>
    <col min="4" max="4" width="5.6640625" customWidth="1"/>
    <col min="5" max="5" width="5.5" customWidth="1"/>
    <col min="6" max="6" width="5" customWidth="1"/>
    <col min="7" max="9" width="5.33203125" customWidth="1"/>
    <col min="10" max="10" width="4.6640625" customWidth="1"/>
    <col min="11" max="11" width="11.5" bestFit="1" customWidth="1"/>
    <col min="12" max="12" width="4.5" customWidth="1"/>
    <col min="13" max="13" width="5" customWidth="1"/>
    <col min="14" max="14" width="4.83203125" customWidth="1"/>
  </cols>
  <sheetData>
    <row r="1" spans="1:22">
      <c r="A1" s="237" t="s">
        <v>206</v>
      </c>
      <c r="B1" s="238"/>
      <c r="C1" s="238"/>
      <c r="D1" s="238"/>
      <c r="E1" s="238"/>
      <c r="F1" s="689" t="s">
        <v>150</v>
      </c>
      <c r="G1" s="689"/>
      <c r="H1" s="689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</row>
    <row r="2" spans="1:22" ht="18">
      <c r="A2" s="237"/>
      <c r="B2" s="238"/>
      <c r="C2" s="238"/>
      <c r="D2" s="238"/>
      <c r="E2" s="238"/>
      <c r="F2" s="239"/>
      <c r="G2" s="239"/>
      <c r="H2" s="239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238"/>
    </row>
    <row r="3" spans="1:22" ht="62.25" customHeight="1">
      <c r="A3" s="694" t="s">
        <v>210</v>
      </c>
      <c r="B3" s="694"/>
      <c r="C3" s="694"/>
      <c r="D3" s="694"/>
      <c r="E3" s="694"/>
      <c r="F3" s="694"/>
      <c r="G3" s="694"/>
      <c r="H3" s="694"/>
      <c r="I3" s="694"/>
      <c r="J3" s="694"/>
      <c r="K3" s="694"/>
      <c r="L3" s="694"/>
      <c r="M3" s="694"/>
      <c r="N3" s="694"/>
      <c r="O3" s="238"/>
      <c r="P3" s="238"/>
      <c r="Q3" s="238"/>
      <c r="R3" s="238"/>
      <c r="S3" s="238"/>
      <c r="T3" s="238"/>
      <c r="U3" s="238"/>
      <c r="V3" s="238"/>
    </row>
    <row r="4" spans="1:22" ht="18">
      <c r="A4" s="237"/>
      <c r="B4" s="238"/>
      <c r="C4" s="238"/>
      <c r="D4" s="238"/>
      <c r="E4" s="238"/>
      <c r="F4" s="239"/>
      <c r="G4" s="239"/>
      <c r="H4" s="239"/>
      <c r="I4" s="238"/>
      <c r="J4" s="238"/>
      <c r="K4" s="238"/>
      <c r="L4" s="238"/>
      <c r="M4" s="238"/>
      <c r="N4" s="238"/>
      <c r="O4" s="238"/>
      <c r="P4" s="238"/>
      <c r="Q4" s="238"/>
      <c r="R4" s="238"/>
      <c r="S4" s="238"/>
      <c r="T4" s="238"/>
      <c r="U4" s="238"/>
      <c r="V4" s="238"/>
    </row>
    <row r="5" spans="1:22" ht="18">
      <c r="A5" s="237"/>
      <c r="B5" s="238"/>
      <c r="C5" s="238"/>
      <c r="D5" s="238"/>
      <c r="E5" s="238"/>
      <c r="F5" s="239"/>
      <c r="G5" s="239"/>
      <c r="H5" s="239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</row>
    <row r="6" spans="1:22" s="10" customFormat="1" ht="16">
      <c r="A6" s="240"/>
      <c r="B6" s="241" t="s">
        <v>122</v>
      </c>
      <c r="C6" s="241" t="s">
        <v>63</v>
      </c>
      <c r="D6" s="241" t="s">
        <v>64</v>
      </c>
      <c r="E6" s="241" t="s">
        <v>65</v>
      </c>
      <c r="F6" s="241" t="s">
        <v>66</v>
      </c>
      <c r="G6" s="241" t="s">
        <v>60</v>
      </c>
      <c r="H6" s="241" t="s">
        <v>67</v>
      </c>
      <c r="I6" s="241" t="s">
        <v>68</v>
      </c>
      <c r="J6" s="241" t="s">
        <v>69</v>
      </c>
      <c r="K6" s="241" t="s">
        <v>70</v>
      </c>
      <c r="L6" s="241" t="s">
        <v>71</v>
      </c>
      <c r="M6" s="241" t="s">
        <v>72</v>
      </c>
      <c r="N6" s="241" t="s">
        <v>73</v>
      </c>
      <c r="O6" s="42"/>
      <c r="P6" s="42"/>
      <c r="Q6" s="42"/>
      <c r="R6" s="42"/>
      <c r="S6" s="42"/>
      <c r="T6" s="42"/>
      <c r="U6" s="42"/>
      <c r="V6" s="42"/>
    </row>
    <row r="7" spans="1:22" s="10" customFormat="1" ht="34">
      <c r="A7" s="233" t="s">
        <v>211</v>
      </c>
      <c r="B7" s="244">
        <f>SUM(C7:N7)</f>
        <v>55000</v>
      </c>
      <c r="C7" s="245"/>
      <c r="D7" s="64"/>
      <c r="E7" s="64"/>
      <c r="F7" s="64"/>
      <c r="G7" s="64"/>
      <c r="H7" s="64"/>
      <c r="I7" s="64"/>
      <c r="J7" s="64"/>
      <c r="K7" s="64">
        <v>55000</v>
      </c>
      <c r="L7" s="64"/>
      <c r="M7" s="64"/>
      <c r="N7" s="64"/>
      <c r="O7" s="42"/>
      <c r="P7" s="42"/>
      <c r="Q7" s="42"/>
      <c r="R7" s="42"/>
      <c r="S7" s="42"/>
      <c r="T7" s="42"/>
      <c r="U7" s="42"/>
      <c r="V7" s="42"/>
    </row>
    <row r="8" spans="1:22">
      <c r="A8" s="238"/>
      <c r="B8" s="238"/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  <c r="R8" s="238"/>
      <c r="S8" s="238"/>
      <c r="T8" s="238"/>
      <c r="U8" s="238"/>
      <c r="V8" s="238"/>
    </row>
    <row r="9" spans="1:22">
      <c r="A9" s="238"/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8"/>
      <c r="S9" s="238"/>
      <c r="T9" s="238"/>
      <c r="U9" s="238"/>
      <c r="V9" s="238"/>
    </row>
    <row r="10" spans="1:22">
      <c r="A10" s="238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8"/>
      <c r="S10" s="238"/>
      <c r="T10" s="238"/>
      <c r="U10" s="238"/>
      <c r="V10" s="238"/>
    </row>
    <row r="11" spans="1:22">
      <c r="A11" s="238"/>
      <c r="B11" s="238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8"/>
      <c r="S11" s="238"/>
      <c r="T11" s="238"/>
      <c r="U11" s="238"/>
      <c r="V11" s="238"/>
    </row>
    <row r="12" spans="1:22">
      <c r="A12" s="238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8"/>
      <c r="S12" s="238"/>
      <c r="T12" s="238"/>
      <c r="U12" s="238"/>
      <c r="V12" s="238"/>
    </row>
    <row r="13" spans="1:22">
      <c r="A13" s="238"/>
      <c r="B13" s="238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8"/>
      <c r="Q13" s="238"/>
      <c r="R13" s="238"/>
      <c r="S13" s="238"/>
      <c r="T13" s="238"/>
      <c r="U13" s="238"/>
      <c r="V13" s="238"/>
    </row>
    <row r="14" spans="1:22">
      <c r="A14" s="238"/>
      <c r="B14" s="238"/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</row>
    <row r="15" spans="1:22">
      <c r="A15" s="238"/>
      <c r="B15" s="238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  <c r="R15" s="238"/>
      <c r="S15" s="238"/>
      <c r="T15" s="238"/>
      <c r="U15" s="238"/>
      <c r="V15" s="238"/>
    </row>
    <row r="16" spans="1:22">
      <c r="A16" s="238"/>
      <c r="B16" s="238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  <c r="Q16" s="238"/>
      <c r="R16" s="238"/>
      <c r="S16" s="238"/>
      <c r="T16" s="238"/>
      <c r="U16" s="238"/>
      <c r="V16" s="238"/>
    </row>
    <row r="17" spans="1:22">
      <c r="A17" s="238"/>
      <c r="B17" s="238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  <c r="R17" s="238"/>
      <c r="S17" s="238"/>
      <c r="T17" s="238"/>
      <c r="U17" s="238"/>
      <c r="V17" s="238"/>
    </row>
    <row r="18" spans="1:22">
      <c r="A18" s="238"/>
      <c r="B18" s="238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8"/>
      <c r="S18" s="238"/>
      <c r="T18" s="238"/>
      <c r="U18" s="238"/>
      <c r="V18" s="238"/>
    </row>
    <row r="19" spans="1:22">
      <c r="A19" s="238"/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238"/>
      <c r="P19" s="238"/>
      <c r="Q19" s="238"/>
      <c r="R19" s="238"/>
      <c r="S19" s="238"/>
      <c r="T19" s="238"/>
      <c r="U19" s="238"/>
      <c r="V19" s="238"/>
    </row>
    <row r="20" spans="1:22">
      <c r="A20" s="238"/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8"/>
      <c r="P20" s="238"/>
      <c r="Q20" s="238"/>
      <c r="R20" s="238"/>
      <c r="S20" s="238"/>
      <c r="T20" s="238"/>
      <c r="U20" s="238"/>
      <c r="V20" s="238"/>
    </row>
    <row r="21" spans="1:22">
      <c r="A21" s="238"/>
      <c r="B21" s="238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8"/>
      <c r="R21" s="238"/>
      <c r="S21" s="238"/>
      <c r="T21" s="238"/>
      <c r="U21" s="238"/>
      <c r="V21" s="238"/>
    </row>
    <row r="22" spans="1:22">
      <c r="A22" s="238"/>
      <c r="B22" s="238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8"/>
      <c r="S22" s="238"/>
      <c r="T22" s="238"/>
      <c r="U22" s="238"/>
      <c r="V22" s="238"/>
    </row>
    <row r="23" spans="1:22">
      <c r="A23" s="238"/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8"/>
      <c r="S23" s="238"/>
      <c r="T23" s="238"/>
      <c r="U23" s="238"/>
      <c r="V23" s="238"/>
    </row>
    <row r="24" spans="1:22">
      <c r="A24" s="238"/>
      <c r="B24" s="238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  <c r="R24" s="238"/>
      <c r="S24" s="238"/>
      <c r="T24" s="238"/>
      <c r="U24" s="238"/>
      <c r="V24" s="238"/>
    </row>
    <row r="25" spans="1:22">
      <c r="A25" s="238"/>
      <c r="B25" s="238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8"/>
      <c r="R25" s="238"/>
      <c r="S25" s="238"/>
      <c r="T25" s="238"/>
      <c r="U25" s="238"/>
      <c r="V25" s="238"/>
    </row>
    <row r="26" spans="1:22">
      <c r="A26" s="238"/>
      <c r="B26" s="238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  <c r="R26" s="238"/>
      <c r="S26" s="238"/>
      <c r="T26" s="238"/>
      <c r="U26" s="238"/>
      <c r="V26" s="238"/>
    </row>
  </sheetData>
  <mergeCells count="2">
    <mergeCell ref="F1:H1"/>
    <mergeCell ref="A3:N3"/>
  </mergeCells>
  <hyperlinks>
    <hyperlink ref="A1" location="Бюджет" display="Бюджет" xr:uid="{00000000-0004-0000-1700-000000000000}"/>
    <hyperlink ref="F1:H1" location="Бюджет" display="2-0020" xr:uid="{00000000-0004-0000-1700-000001000000}"/>
  </hyperlinks>
  <pageMargins left="0.7" right="0.7" top="0.75" bottom="0.75" header="0.3" footer="0.3"/>
  <legacy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Q16"/>
  <sheetViews>
    <sheetView workbookViewId="0"/>
  </sheetViews>
  <sheetFormatPr baseColWidth="10" defaultColWidth="8.83203125" defaultRowHeight="15"/>
  <cols>
    <col min="1" max="1" width="49.83203125" customWidth="1"/>
    <col min="2" max="2" width="12.5" customWidth="1"/>
    <col min="3" max="3" width="15.83203125" customWidth="1"/>
    <col min="4" max="4" width="14.33203125" customWidth="1"/>
    <col min="5" max="5" width="12.6640625" customWidth="1"/>
    <col min="6" max="6" width="11.5" customWidth="1"/>
    <col min="7" max="7" width="11.5" bestFit="1" customWidth="1"/>
    <col min="8" max="8" width="13.6640625" customWidth="1"/>
    <col min="9" max="9" width="11.83203125" customWidth="1"/>
    <col min="10" max="10" width="13" customWidth="1"/>
    <col min="11" max="11" width="12.83203125" customWidth="1"/>
    <col min="12" max="12" width="12" customWidth="1"/>
    <col min="13" max="13" width="14.1640625" customWidth="1"/>
    <col min="14" max="14" width="11.5" bestFit="1" customWidth="1"/>
  </cols>
  <sheetData>
    <row r="1" spans="1:17">
      <c r="A1" s="237" t="s">
        <v>206</v>
      </c>
      <c r="B1" s="238"/>
      <c r="C1" s="238"/>
      <c r="D1" s="238"/>
      <c r="E1" s="238"/>
      <c r="F1" s="689" t="s">
        <v>151</v>
      </c>
      <c r="G1" s="689"/>
      <c r="H1" s="689"/>
      <c r="I1" s="238"/>
      <c r="J1" s="238"/>
      <c r="K1" s="238"/>
      <c r="L1" s="238"/>
      <c r="M1" s="238"/>
      <c r="N1" s="238"/>
      <c r="O1" s="238"/>
      <c r="P1" s="238"/>
      <c r="Q1" s="238"/>
    </row>
    <row r="2" spans="1:17" ht="18">
      <c r="A2" s="237"/>
      <c r="B2" s="238"/>
      <c r="C2" s="238"/>
      <c r="D2" s="238"/>
      <c r="E2" s="238"/>
      <c r="F2" s="239"/>
      <c r="G2" s="239"/>
      <c r="H2" s="239"/>
      <c r="I2" s="238"/>
      <c r="J2" s="238"/>
      <c r="K2" s="238"/>
      <c r="L2" s="238"/>
      <c r="M2" s="238"/>
      <c r="N2" s="238"/>
      <c r="O2" s="238"/>
      <c r="P2" s="238"/>
      <c r="Q2" s="238"/>
    </row>
    <row r="3" spans="1:17" s="261" customFormat="1" ht="36.75" customHeight="1">
      <c r="A3" s="694" t="s">
        <v>635</v>
      </c>
      <c r="B3" s="694"/>
      <c r="C3" s="694"/>
      <c r="D3" s="694"/>
      <c r="E3" s="694"/>
      <c r="F3" s="694"/>
      <c r="G3" s="694"/>
      <c r="H3" s="694"/>
      <c r="I3" s="694"/>
      <c r="J3" s="694"/>
      <c r="K3" s="694"/>
      <c r="L3" s="694"/>
      <c r="M3" s="694"/>
      <c r="N3" s="694"/>
    </row>
    <row r="4" spans="1:17" s="261" customFormat="1" ht="18" customHeight="1">
      <c r="A4" s="694" t="s">
        <v>632</v>
      </c>
      <c r="B4" s="694"/>
      <c r="C4" s="694"/>
      <c r="D4" s="694"/>
      <c r="E4" s="694"/>
      <c r="F4" s="694"/>
      <c r="G4" s="694"/>
      <c r="H4" s="694"/>
      <c r="I4" s="694"/>
      <c r="J4" s="694"/>
      <c r="K4" s="694"/>
      <c r="L4" s="694"/>
      <c r="M4" s="694"/>
      <c r="N4" s="694"/>
    </row>
    <row r="5" spans="1:17" s="261" customFormat="1" ht="16">
      <c r="A5" s="694"/>
      <c r="B5" s="694"/>
      <c r="C5" s="694"/>
      <c r="D5" s="694"/>
      <c r="E5" s="694"/>
      <c r="F5" s="694"/>
      <c r="G5" s="694"/>
      <c r="H5" s="694"/>
      <c r="I5" s="694"/>
      <c r="J5" s="694"/>
      <c r="K5" s="694"/>
      <c r="L5" s="694"/>
      <c r="M5" s="694"/>
      <c r="N5" s="694"/>
    </row>
    <row r="6" spans="1:17" s="261" customFormat="1" ht="16">
      <c r="A6" s="257"/>
      <c r="B6" s="257"/>
      <c r="C6" s="257"/>
      <c r="D6" s="257"/>
      <c r="E6" s="257"/>
      <c r="F6" s="257"/>
      <c r="G6" s="257"/>
      <c r="H6" s="257"/>
      <c r="I6" s="257"/>
      <c r="J6" s="257"/>
      <c r="K6" s="257"/>
      <c r="L6" s="257"/>
      <c r="M6" s="257"/>
      <c r="N6" s="257"/>
    </row>
    <row r="7" spans="1:17" s="10" customFormat="1" ht="16">
      <c r="A7" s="240"/>
      <c r="B7" s="241"/>
      <c r="C7" s="241" t="s">
        <v>63</v>
      </c>
      <c r="D7" s="241" t="s">
        <v>64</v>
      </c>
      <c r="E7" s="241" t="s">
        <v>65</v>
      </c>
      <c r="F7" s="241" t="s">
        <v>66</v>
      </c>
      <c r="G7" s="241" t="s">
        <v>60</v>
      </c>
      <c r="H7" s="241" t="s">
        <v>67</v>
      </c>
      <c r="I7" s="241" t="s">
        <v>68</v>
      </c>
      <c r="J7" s="241" t="s">
        <v>69</v>
      </c>
      <c r="K7" s="241" t="s">
        <v>70</v>
      </c>
      <c r="L7" s="241" t="s">
        <v>71</v>
      </c>
      <c r="M7" s="241" t="s">
        <v>72</v>
      </c>
      <c r="N7" s="241" t="s">
        <v>73</v>
      </c>
      <c r="O7" s="42"/>
      <c r="P7" s="42"/>
      <c r="Q7" s="42"/>
    </row>
    <row r="8" spans="1:17" s="260" customFormat="1" ht="17">
      <c r="A8" s="407" t="s">
        <v>266</v>
      </c>
      <c r="B8" s="408">
        <f>SUM(C8:N8)</f>
        <v>331000</v>
      </c>
      <c r="C8" s="409">
        <f t="shared" ref="C8:N8" si="0">SUM(C10:C15)</f>
        <v>40000</v>
      </c>
      <c r="D8" s="409">
        <f t="shared" si="0"/>
        <v>15000</v>
      </c>
      <c r="E8" s="409">
        <f t="shared" si="0"/>
        <v>37000</v>
      </c>
      <c r="F8" s="409">
        <f t="shared" si="0"/>
        <v>15000</v>
      </c>
      <c r="G8" s="409">
        <f t="shared" si="0"/>
        <v>15000</v>
      </c>
      <c r="H8" s="409">
        <f t="shared" si="0"/>
        <v>40000</v>
      </c>
      <c r="I8" s="409">
        <f t="shared" si="0"/>
        <v>15000</v>
      </c>
      <c r="J8" s="409">
        <f t="shared" si="0"/>
        <v>15000</v>
      </c>
      <c r="K8" s="409">
        <f t="shared" si="0"/>
        <v>72000</v>
      </c>
      <c r="L8" s="409">
        <f t="shared" si="0"/>
        <v>15000</v>
      </c>
      <c r="M8" s="409">
        <f t="shared" si="0"/>
        <v>15000</v>
      </c>
      <c r="N8" s="409">
        <f t="shared" si="0"/>
        <v>37000</v>
      </c>
      <c r="O8" s="267"/>
      <c r="P8" s="267"/>
      <c r="Q8" s="267"/>
    </row>
    <row r="9" spans="1:17" s="10" customFormat="1" ht="16">
      <c r="A9" s="258" t="s">
        <v>214</v>
      </c>
      <c r="B9" s="259"/>
      <c r="C9" s="262"/>
      <c r="D9" s="262"/>
      <c r="E9" s="263"/>
      <c r="F9" s="262"/>
      <c r="G9" s="264"/>
      <c r="H9" s="264"/>
      <c r="I9" s="264"/>
      <c r="J9" s="262"/>
      <c r="K9" s="262"/>
      <c r="L9" s="262"/>
      <c r="M9" s="262"/>
      <c r="N9" s="264"/>
      <c r="O9" s="42"/>
      <c r="P9" s="42"/>
      <c r="Q9" s="42"/>
    </row>
    <row r="10" spans="1:17" ht="16">
      <c r="A10" s="265" t="s">
        <v>278</v>
      </c>
      <c r="B10" s="266"/>
      <c r="C10" s="266"/>
      <c r="D10" s="266"/>
      <c r="E10" s="266"/>
      <c r="F10" s="266"/>
      <c r="G10" s="266"/>
      <c r="H10" s="266"/>
      <c r="I10" s="266"/>
      <c r="J10" s="266"/>
      <c r="K10" s="266">
        <v>35000</v>
      </c>
      <c r="L10" s="266"/>
      <c r="M10" s="266"/>
      <c r="N10" s="266"/>
      <c r="O10" s="238"/>
      <c r="P10" s="238"/>
      <c r="Q10" s="238"/>
    </row>
    <row r="11" spans="1:17" ht="16">
      <c r="A11" s="265" t="s">
        <v>277</v>
      </c>
      <c r="B11" s="266"/>
      <c r="C11" s="266">
        <v>15000</v>
      </c>
      <c r="D11" s="266">
        <v>15000</v>
      </c>
      <c r="E11" s="266">
        <v>15000</v>
      </c>
      <c r="F11" s="266">
        <v>15000</v>
      </c>
      <c r="G11" s="266">
        <v>15000</v>
      </c>
      <c r="H11" s="266">
        <v>15000</v>
      </c>
      <c r="I11" s="266">
        <v>15000</v>
      </c>
      <c r="J11" s="266">
        <v>15000</v>
      </c>
      <c r="K11" s="266">
        <v>15000</v>
      </c>
      <c r="L11" s="266">
        <v>15000</v>
      </c>
      <c r="M11" s="266">
        <v>15000</v>
      </c>
      <c r="N11" s="266">
        <v>15000</v>
      </c>
      <c r="O11" s="238"/>
      <c r="P11" s="238"/>
      <c r="Q11" s="238"/>
    </row>
    <row r="12" spans="1:17" s="238" customFormat="1" ht="16">
      <c r="A12" s="265" t="s">
        <v>707</v>
      </c>
      <c r="B12" s="266"/>
      <c r="C12" s="266"/>
      <c r="D12" s="266"/>
      <c r="E12" s="266">
        <v>17000</v>
      </c>
      <c r="F12" s="266"/>
      <c r="G12" s="266"/>
      <c r="H12" s="266">
        <v>17000</v>
      </c>
      <c r="I12" s="266"/>
      <c r="J12" s="266"/>
      <c r="K12" s="266">
        <v>17000</v>
      </c>
      <c r="L12" s="266"/>
      <c r="M12" s="266"/>
      <c r="N12" s="266">
        <v>17000</v>
      </c>
    </row>
    <row r="13" spans="1:17" ht="16">
      <c r="A13" s="265" t="s">
        <v>279</v>
      </c>
      <c r="B13" s="266"/>
      <c r="C13" s="266"/>
      <c r="D13" s="266"/>
      <c r="E13" s="266">
        <v>5000</v>
      </c>
      <c r="F13" s="266"/>
      <c r="G13" s="266"/>
      <c r="H13" s="266">
        <v>5000</v>
      </c>
      <c r="I13" s="266"/>
      <c r="J13" s="266"/>
      <c r="K13" s="266">
        <v>5000</v>
      </c>
      <c r="L13" s="266"/>
      <c r="M13" s="266"/>
      <c r="N13" s="266">
        <v>5000</v>
      </c>
      <c r="O13" s="238"/>
      <c r="P13" s="238"/>
      <c r="Q13" s="238"/>
    </row>
    <row r="14" spans="1:17" ht="16">
      <c r="A14" s="265" t="s">
        <v>213</v>
      </c>
      <c r="B14" s="266"/>
      <c r="C14" s="266"/>
      <c r="D14" s="266"/>
      <c r="E14" s="266"/>
      <c r="F14" s="266"/>
      <c r="G14" s="266"/>
      <c r="H14" s="266">
        <v>3000</v>
      </c>
      <c r="I14" s="266"/>
      <c r="J14" s="266"/>
      <c r="K14" s="266"/>
      <c r="L14" s="266"/>
      <c r="M14" s="266"/>
      <c r="N14" s="266"/>
      <c r="O14" s="238"/>
      <c r="P14" s="238"/>
      <c r="Q14" s="238"/>
    </row>
    <row r="15" spans="1:17">
      <c r="A15" s="266" t="s">
        <v>694</v>
      </c>
      <c r="B15" s="266"/>
      <c r="C15" s="266">
        <v>25000</v>
      </c>
      <c r="D15" s="266"/>
      <c r="E15" s="266"/>
      <c r="F15" s="266"/>
      <c r="G15" s="266"/>
      <c r="H15" s="266"/>
      <c r="I15" s="266"/>
      <c r="J15" s="266"/>
      <c r="K15" s="266"/>
      <c r="L15" s="266"/>
      <c r="M15" s="266"/>
      <c r="N15" s="266"/>
    </row>
    <row r="16" spans="1:17">
      <c r="A16" s="238"/>
      <c r="B16" s="238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  <c r="Q16" s="238"/>
    </row>
  </sheetData>
  <mergeCells count="4">
    <mergeCell ref="F1:H1"/>
    <mergeCell ref="A3:N3"/>
    <mergeCell ref="A4:N4"/>
    <mergeCell ref="A5:N5"/>
  </mergeCells>
  <hyperlinks>
    <hyperlink ref="A1" location="Бюджет" display="Бюджет" xr:uid="{00000000-0004-0000-1800-000000000000}"/>
    <hyperlink ref="F1:H1" location="Бюджет" display="2-0021" xr:uid="{00000000-0004-0000-1800-000001000000}"/>
  </hyperlinks>
  <pageMargins left="0.7" right="0.7" top="0.75" bottom="0.75" header="0.3" footer="0.3"/>
  <pageSetup paperSize="9" orientation="portrait" r:id="rId1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N27"/>
  <sheetViews>
    <sheetView workbookViewId="0"/>
  </sheetViews>
  <sheetFormatPr baseColWidth="10" defaultColWidth="8.83203125" defaultRowHeight="15"/>
  <cols>
    <col min="1" max="1" width="39.83203125" customWidth="1"/>
    <col min="2" max="2" width="14.6640625" bestFit="1" customWidth="1"/>
    <col min="3" max="8" width="12.6640625" bestFit="1" customWidth="1"/>
    <col min="9" max="9" width="14.33203125" customWidth="1"/>
    <col min="10" max="14" width="12.6640625" bestFit="1" customWidth="1"/>
  </cols>
  <sheetData>
    <row r="1" spans="1:14">
      <c r="A1" s="237" t="s">
        <v>206</v>
      </c>
      <c r="B1" s="238"/>
      <c r="C1" s="238"/>
      <c r="D1" s="238"/>
      <c r="E1" s="238"/>
      <c r="F1" s="689" t="s">
        <v>152</v>
      </c>
      <c r="G1" s="689"/>
      <c r="H1" s="689"/>
      <c r="I1" s="238"/>
      <c r="J1" s="238"/>
      <c r="K1" s="238"/>
      <c r="L1" s="238"/>
      <c r="M1" s="238"/>
      <c r="N1" s="238"/>
    </row>
    <row r="2" spans="1:14" ht="18">
      <c r="A2" s="237"/>
      <c r="B2" s="238"/>
      <c r="C2" s="238"/>
      <c r="D2" s="238"/>
      <c r="E2" s="238"/>
      <c r="F2" s="239"/>
      <c r="G2" s="239"/>
      <c r="H2" s="239"/>
      <c r="I2" s="238"/>
      <c r="J2" s="238"/>
      <c r="K2" s="238"/>
      <c r="L2" s="238"/>
      <c r="M2" s="238"/>
      <c r="N2" s="238"/>
    </row>
    <row r="3" spans="1:14" ht="18.75" customHeight="1">
      <c r="A3" s="695"/>
      <c r="B3" s="695"/>
      <c r="C3" s="695"/>
      <c r="D3" s="695"/>
      <c r="E3" s="695"/>
      <c r="F3" s="695"/>
      <c r="G3" s="695"/>
      <c r="H3" s="695"/>
      <c r="I3" s="695"/>
      <c r="J3" s="695"/>
      <c r="K3" s="695"/>
      <c r="L3" s="695"/>
      <c r="M3" s="695"/>
      <c r="N3" s="695"/>
    </row>
    <row r="4" spans="1:14" ht="18.75" customHeight="1">
      <c r="A4" s="695"/>
      <c r="B4" s="695"/>
      <c r="C4" s="695"/>
      <c r="D4" s="695"/>
      <c r="E4" s="695"/>
      <c r="F4" s="695"/>
      <c r="G4" s="695"/>
      <c r="H4" s="695"/>
      <c r="I4" s="695"/>
      <c r="J4" s="695"/>
      <c r="K4" s="695"/>
      <c r="L4" s="695"/>
      <c r="M4" s="695"/>
      <c r="N4" s="695"/>
    </row>
    <row r="5" spans="1:14" ht="18.75" customHeight="1">
      <c r="A5" s="695"/>
      <c r="B5" s="695"/>
      <c r="C5" s="695"/>
      <c r="D5" s="695"/>
      <c r="E5" s="695"/>
      <c r="F5" s="695"/>
      <c r="G5" s="695"/>
      <c r="H5" s="695"/>
      <c r="I5" s="695"/>
      <c r="J5" s="695"/>
      <c r="K5" s="695"/>
      <c r="L5" s="695"/>
      <c r="M5" s="695"/>
      <c r="N5" s="695"/>
    </row>
    <row r="6" spans="1:14" s="29" customFormat="1" ht="14.25" customHeight="1">
      <c r="A6" s="240"/>
      <c r="B6" s="241"/>
      <c r="C6" s="241" t="s">
        <v>63</v>
      </c>
      <c r="D6" s="241" t="s">
        <v>64</v>
      </c>
      <c r="E6" s="241" t="s">
        <v>65</v>
      </c>
      <c r="F6" s="241" t="s">
        <v>66</v>
      </c>
      <c r="G6" s="241" t="s">
        <v>60</v>
      </c>
      <c r="H6" s="241" t="s">
        <v>67</v>
      </c>
      <c r="I6" s="241" t="s">
        <v>68</v>
      </c>
      <c r="J6" s="241" t="s">
        <v>69</v>
      </c>
      <c r="K6" s="241" t="s">
        <v>70</v>
      </c>
      <c r="L6" s="241" t="s">
        <v>71</v>
      </c>
      <c r="M6" s="241" t="s">
        <v>72</v>
      </c>
      <c r="N6" s="241" t="s">
        <v>73</v>
      </c>
    </row>
    <row r="7" spans="1:14" s="29" customFormat="1" ht="28.5" customHeight="1">
      <c r="A7" s="401" t="s">
        <v>301</v>
      </c>
      <c r="B7" s="402">
        <f>SUM(C7:N7)</f>
        <v>150000</v>
      </c>
      <c r="C7" s="400">
        <f t="shared" ref="C7:N7" si="0">SUM(C8:C9)</f>
        <v>5000</v>
      </c>
      <c r="D7" s="400">
        <f t="shared" si="0"/>
        <v>20000</v>
      </c>
      <c r="E7" s="400">
        <f t="shared" si="0"/>
        <v>5000</v>
      </c>
      <c r="F7" s="400">
        <f t="shared" si="0"/>
        <v>20000</v>
      </c>
      <c r="G7" s="400">
        <f t="shared" si="0"/>
        <v>5000</v>
      </c>
      <c r="H7" s="400">
        <f t="shared" si="0"/>
        <v>20000</v>
      </c>
      <c r="I7" s="400">
        <f t="shared" si="0"/>
        <v>5000</v>
      </c>
      <c r="J7" s="400">
        <f t="shared" si="0"/>
        <v>20000</v>
      </c>
      <c r="K7" s="400">
        <f t="shared" si="0"/>
        <v>5000</v>
      </c>
      <c r="L7" s="400">
        <f t="shared" si="0"/>
        <v>20000</v>
      </c>
      <c r="M7" s="400">
        <f t="shared" si="0"/>
        <v>5000</v>
      </c>
      <c r="N7" s="400">
        <f t="shared" si="0"/>
        <v>20000</v>
      </c>
    </row>
    <row r="8" spans="1:14">
      <c r="A8" s="266" t="s">
        <v>302</v>
      </c>
      <c r="B8" s="266"/>
      <c r="C8" s="266"/>
      <c r="D8" s="266">
        <v>20000</v>
      </c>
      <c r="E8" s="266"/>
      <c r="F8" s="266">
        <v>20000</v>
      </c>
      <c r="G8" s="266"/>
      <c r="H8" s="266">
        <v>20000</v>
      </c>
      <c r="I8" s="266"/>
      <c r="J8" s="266">
        <v>20000</v>
      </c>
      <c r="K8" s="266"/>
      <c r="L8" s="266">
        <v>20000</v>
      </c>
      <c r="M8" s="266"/>
      <c r="N8" s="266">
        <v>20000</v>
      </c>
    </row>
    <row r="9" spans="1:14" ht="34.5" customHeight="1">
      <c r="A9" s="435" t="s">
        <v>708</v>
      </c>
      <c r="B9" s="266"/>
      <c r="C9" s="266">
        <v>5000</v>
      </c>
      <c r="D9" s="266"/>
      <c r="E9" s="266">
        <v>5000</v>
      </c>
      <c r="F9" s="266"/>
      <c r="G9" s="266">
        <v>5000</v>
      </c>
      <c r="H9" s="266"/>
      <c r="I9" s="266">
        <v>5000</v>
      </c>
      <c r="J9" s="266"/>
      <c r="K9" s="266">
        <v>5000</v>
      </c>
      <c r="L9" s="266"/>
      <c r="M9" s="266">
        <v>5000</v>
      </c>
      <c r="N9" s="266"/>
    </row>
    <row r="10" spans="1:14">
      <c r="A10" s="238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</row>
    <row r="11" spans="1:14">
      <c r="A11" s="238"/>
      <c r="B11" s="238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</row>
    <row r="12" spans="1:14">
      <c r="A12" s="238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</row>
    <row r="13" spans="1:14">
      <c r="A13" s="238"/>
      <c r="B13" s="238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</row>
    <row r="14" spans="1:14">
      <c r="A14" s="238"/>
      <c r="B14" s="238"/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</row>
    <row r="15" spans="1:14">
      <c r="A15" s="238"/>
      <c r="B15" s="238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</row>
    <row r="16" spans="1:14">
      <c r="A16" s="238"/>
      <c r="B16" s="238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</row>
    <row r="17" spans="1:14">
      <c r="A17" s="238"/>
      <c r="B17" s="238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</row>
    <row r="18" spans="1:14">
      <c r="A18" s="238"/>
      <c r="B18" s="238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</row>
    <row r="19" spans="1:14">
      <c r="A19" s="238"/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</row>
    <row r="20" spans="1:14">
      <c r="A20" s="238"/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</row>
    <row r="21" spans="1:14">
      <c r="A21" s="238"/>
      <c r="B21" s="238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</row>
    <row r="22" spans="1:14">
      <c r="A22" s="238"/>
      <c r="B22" s="238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</row>
    <row r="23" spans="1:14">
      <c r="A23" s="238"/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</row>
    <row r="24" spans="1:14">
      <c r="A24" s="238"/>
      <c r="B24" s="238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</row>
    <row r="25" spans="1:14">
      <c r="A25" s="238"/>
      <c r="B25" s="238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</row>
    <row r="26" spans="1:14">
      <c r="A26" s="238"/>
      <c r="B26" s="238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</row>
    <row r="27" spans="1:14">
      <c r="A27" s="238"/>
      <c r="B27" s="238"/>
      <c r="C27" s="238"/>
      <c r="D27" s="238"/>
      <c r="E27" s="238"/>
      <c r="F27" s="238"/>
      <c r="G27" s="238"/>
      <c r="H27" s="238"/>
      <c r="I27" s="238"/>
      <c r="J27" s="238"/>
      <c r="K27" s="238"/>
      <c r="L27" s="238"/>
      <c r="M27" s="238"/>
      <c r="N27" s="238"/>
    </row>
  </sheetData>
  <mergeCells count="2">
    <mergeCell ref="F1:H1"/>
    <mergeCell ref="A3:N5"/>
  </mergeCells>
  <hyperlinks>
    <hyperlink ref="A1" location="Бюджет" display="Бюджет" xr:uid="{00000000-0004-0000-1900-000000000000}"/>
    <hyperlink ref="F1:H1" location="Бюджет" display="2-0022" xr:uid="{00000000-0004-0000-1900-000001000000}"/>
  </hyperlinks>
  <pageMargins left="0.7" right="0.7" top="0.75" bottom="0.75" header="0.3" footer="0.3"/>
  <pageSetup paperSize="9" orientation="portrait" horizontalDpi="0" verticalDpi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N28"/>
  <sheetViews>
    <sheetView workbookViewId="0"/>
  </sheetViews>
  <sheetFormatPr baseColWidth="10" defaultColWidth="8.83203125" defaultRowHeight="15"/>
  <cols>
    <col min="1" max="1" width="37" customWidth="1"/>
    <col min="2" max="2" width="14.6640625" bestFit="1" customWidth="1"/>
    <col min="3" max="14" width="12.6640625" bestFit="1" customWidth="1"/>
  </cols>
  <sheetData>
    <row r="1" spans="1:14">
      <c r="A1" s="237" t="s">
        <v>206</v>
      </c>
      <c r="B1" s="238"/>
      <c r="C1" s="238"/>
      <c r="D1" s="238"/>
      <c r="E1" s="238"/>
      <c r="F1" s="689" t="s">
        <v>153</v>
      </c>
      <c r="G1" s="689"/>
      <c r="H1" s="689"/>
      <c r="I1" s="238"/>
      <c r="J1" s="238"/>
      <c r="K1" s="238"/>
      <c r="L1" s="238"/>
      <c r="M1" s="238"/>
      <c r="N1" s="238"/>
    </row>
    <row r="2" spans="1:14" ht="15.75" customHeight="1">
      <c r="A2" s="694"/>
      <c r="B2" s="694"/>
      <c r="C2" s="694"/>
      <c r="D2" s="694"/>
      <c r="E2" s="694"/>
      <c r="F2" s="694"/>
      <c r="G2" s="694"/>
      <c r="H2" s="694"/>
      <c r="I2" s="694"/>
      <c r="J2" s="694"/>
      <c r="K2" s="694"/>
      <c r="L2" s="694"/>
      <c r="M2" s="694"/>
      <c r="N2" s="694"/>
    </row>
    <row r="3" spans="1:14" ht="15.75" customHeight="1">
      <c r="A3" s="694"/>
      <c r="B3" s="694"/>
      <c r="C3" s="694"/>
      <c r="D3" s="694"/>
      <c r="E3" s="694"/>
      <c r="F3" s="694"/>
      <c r="G3" s="694"/>
      <c r="H3" s="694"/>
      <c r="I3" s="694"/>
      <c r="J3" s="694"/>
      <c r="K3" s="694"/>
      <c r="L3" s="694"/>
      <c r="M3" s="694"/>
      <c r="N3" s="694"/>
    </row>
    <row r="4" spans="1:14" ht="15.75" customHeight="1">
      <c r="A4" s="257"/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</row>
    <row r="5" spans="1:14" s="29" customFormat="1" ht="16">
      <c r="A5" s="240"/>
      <c r="B5" s="241"/>
      <c r="C5" s="241" t="s">
        <v>63</v>
      </c>
      <c r="D5" s="241" t="s">
        <v>64</v>
      </c>
      <c r="E5" s="241" t="s">
        <v>65</v>
      </c>
      <c r="F5" s="241" t="s">
        <v>66</v>
      </c>
      <c r="G5" s="241" t="s">
        <v>60</v>
      </c>
      <c r="H5" s="241" t="s">
        <v>67</v>
      </c>
      <c r="I5" s="241" t="s">
        <v>68</v>
      </c>
      <c r="J5" s="241" t="s">
        <v>69</v>
      </c>
      <c r="K5" s="241" t="s">
        <v>70</v>
      </c>
      <c r="L5" s="241" t="s">
        <v>71</v>
      </c>
      <c r="M5" s="241" t="s">
        <v>72</v>
      </c>
      <c r="N5" s="241" t="s">
        <v>73</v>
      </c>
    </row>
    <row r="6" spans="1:14" s="29" customFormat="1" ht="34">
      <c r="A6" s="401" t="s">
        <v>136</v>
      </c>
      <c r="B6" s="402">
        <f>SUM(C6:N6)</f>
        <v>0</v>
      </c>
      <c r="C6" s="400">
        <f t="shared" ref="C6:N6" si="0">SUM(C7:C7)</f>
        <v>0</v>
      </c>
      <c r="D6" s="400">
        <f t="shared" si="0"/>
        <v>0</v>
      </c>
      <c r="E6" s="400">
        <f t="shared" si="0"/>
        <v>0</v>
      </c>
      <c r="F6" s="400">
        <f t="shared" si="0"/>
        <v>0</v>
      </c>
      <c r="G6" s="400">
        <f t="shared" si="0"/>
        <v>0</v>
      </c>
      <c r="H6" s="400">
        <f t="shared" si="0"/>
        <v>0</v>
      </c>
      <c r="I6" s="400">
        <f t="shared" si="0"/>
        <v>0</v>
      </c>
      <c r="J6" s="400">
        <f t="shared" si="0"/>
        <v>0</v>
      </c>
      <c r="K6" s="400">
        <f t="shared" si="0"/>
        <v>0</v>
      </c>
      <c r="L6" s="400">
        <f t="shared" si="0"/>
        <v>0</v>
      </c>
      <c r="M6" s="400">
        <f t="shared" si="0"/>
        <v>0</v>
      </c>
      <c r="N6" s="400">
        <f t="shared" si="0"/>
        <v>0</v>
      </c>
    </row>
    <row r="7" spans="1:14" ht="16">
      <c r="A7" s="266"/>
      <c r="B7" s="266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</row>
    <row r="8" spans="1:14">
      <c r="A8" s="238"/>
      <c r="B8" s="238"/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</row>
    <row r="9" spans="1:14">
      <c r="A9" s="238"/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</row>
    <row r="10" spans="1:14">
      <c r="A10" s="238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</row>
    <row r="11" spans="1:14">
      <c r="A11" s="238"/>
      <c r="B11" s="238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</row>
    <row r="12" spans="1:14">
      <c r="A12" s="238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</row>
    <row r="13" spans="1:14">
      <c r="A13" s="238"/>
      <c r="B13" s="238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</row>
    <row r="14" spans="1:14">
      <c r="A14" s="238"/>
      <c r="B14" s="238"/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</row>
    <row r="15" spans="1:14">
      <c r="A15" s="238"/>
      <c r="B15" s="238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</row>
    <row r="16" spans="1:14">
      <c r="A16" s="238"/>
      <c r="B16" s="238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</row>
    <row r="17" spans="1:14">
      <c r="A17" s="238"/>
      <c r="B17" s="238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</row>
    <row r="18" spans="1:14">
      <c r="A18" s="238"/>
      <c r="B18" s="238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</row>
    <row r="19" spans="1:14">
      <c r="A19" s="238"/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</row>
    <row r="20" spans="1:14">
      <c r="A20" s="238"/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</row>
    <row r="21" spans="1:14">
      <c r="A21" s="238"/>
      <c r="B21" s="238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</row>
    <row r="22" spans="1:14">
      <c r="A22" s="238"/>
      <c r="B22" s="238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</row>
    <row r="23" spans="1:14">
      <c r="A23" s="238"/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</row>
    <row r="24" spans="1:14">
      <c r="A24" s="238"/>
      <c r="B24" s="238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</row>
    <row r="25" spans="1:14">
      <c r="A25" s="238"/>
      <c r="B25" s="238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</row>
    <row r="26" spans="1:14">
      <c r="A26" s="238"/>
      <c r="B26" s="238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</row>
    <row r="27" spans="1:14">
      <c r="A27" s="238"/>
      <c r="B27" s="238"/>
      <c r="C27" s="238"/>
      <c r="D27" s="238"/>
      <c r="E27" s="238"/>
      <c r="F27" s="238"/>
      <c r="G27" s="238"/>
      <c r="H27" s="238"/>
      <c r="I27" s="238"/>
      <c r="J27" s="238"/>
      <c r="K27" s="238"/>
      <c r="L27" s="238"/>
      <c r="M27" s="238"/>
      <c r="N27" s="238"/>
    </row>
    <row r="28" spans="1:14">
      <c r="A28" s="238"/>
      <c r="B28" s="238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</row>
  </sheetData>
  <mergeCells count="2">
    <mergeCell ref="F1:H1"/>
    <mergeCell ref="A2:N3"/>
  </mergeCells>
  <hyperlinks>
    <hyperlink ref="A1" location="Бюджет" display="Бюджет" xr:uid="{00000000-0004-0000-1A00-000000000000}"/>
    <hyperlink ref="F1:H1" location="Бюджет" display="2-0023" xr:uid="{00000000-0004-0000-1A00-000001000000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30"/>
  <sheetViews>
    <sheetView workbookViewId="0"/>
  </sheetViews>
  <sheetFormatPr baseColWidth="10" defaultColWidth="8.83203125" defaultRowHeight="15"/>
  <cols>
    <col min="1" max="1" width="9.83203125" customWidth="1"/>
    <col min="2" max="2" width="14.6640625" customWidth="1"/>
    <col min="3" max="3" width="12.6640625" bestFit="1" customWidth="1"/>
    <col min="4" max="4" width="5.6640625" customWidth="1"/>
    <col min="5" max="5" width="14.6640625" customWidth="1"/>
    <col min="6" max="6" width="12.6640625" bestFit="1" customWidth="1"/>
    <col min="7" max="8" width="5.33203125" customWidth="1"/>
    <col min="9" max="9" width="12.6640625" bestFit="1" customWidth="1"/>
    <col min="10" max="10" width="4.6640625" customWidth="1"/>
    <col min="11" max="11" width="4.83203125" customWidth="1"/>
    <col min="12" max="12" width="12.6640625" bestFit="1" customWidth="1"/>
    <col min="13" max="13" width="5" customWidth="1"/>
    <col min="14" max="14" width="4.83203125" customWidth="1"/>
  </cols>
  <sheetData>
    <row r="1" spans="1:23">
      <c r="A1" s="237" t="s">
        <v>206</v>
      </c>
      <c r="B1" s="238"/>
      <c r="C1" s="238"/>
      <c r="D1" s="238"/>
      <c r="E1" s="238"/>
      <c r="F1" s="689" t="s">
        <v>154</v>
      </c>
      <c r="G1" s="689"/>
      <c r="H1" s="689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</row>
    <row r="2" spans="1:23" ht="18.75" customHeight="1">
      <c r="A2" s="696" t="s">
        <v>215</v>
      </c>
      <c r="B2" s="696"/>
      <c r="C2" s="696"/>
      <c r="D2" s="696"/>
      <c r="E2" s="696"/>
      <c r="F2" s="696"/>
      <c r="G2" s="696"/>
      <c r="H2" s="696"/>
      <c r="I2" s="696"/>
      <c r="J2" s="696"/>
      <c r="K2" s="696"/>
      <c r="L2" s="696"/>
      <c r="M2" s="696"/>
      <c r="N2" s="696"/>
      <c r="O2" s="238"/>
      <c r="P2" s="238"/>
      <c r="Q2" s="238"/>
      <c r="R2" s="238"/>
      <c r="S2" s="238"/>
      <c r="T2" s="238"/>
      <c r="U2" s="238"/>
      <c r="V2" s="238"/>
      <c r="W2" s="238"/>
    </row>
    <row r="3" spans="1:23" ht="18.75" customHeight="1">
      <c r="A3" s="696"/>
      <c r="B3" s="696"/>
      <c r="C3" s="696"/>
      <c r="D3" s="696"/>
      <c r="E3" s="696"/>
      <c r="F3" s="696"/>
      <c r="G3" s="696"/>
      <c r="H3" s="696"/>
      <c r="I3" s="696"/>
      <c r="J3" s="696"/>
      <c r="K3" s="696"/>
      <c r="L3" s="696"/>
      <c r="M3" s="696"/>
      <c r="N3" s="696"/>
      <c r="O3" s="238"/>
      <c r="P3" s="238"/>
      <c r="Q3" s="238"/>
      <c r="R3" s="238"/>
      <c r="S3" s="238"/>
      <c r="T3" s="238"/>
      <c r="U3" s="238"/>
      <c r="V3" s="238"/>
      <c r="W3" s="238"/>
    </row>
    <row r="4" spans="1:23" ht="18.75" customHeight="1">
      <c r="A4" s="696"/>
      <c r="B4" s="696"/>
      <c r="C4" s="696"/>
      <c r="D4" s="696"/>
      <c r="E4" s="696"/>
      <c r="F4" s="696"/>
      <c r="G4" s="696"/>
      <c r="H4" s="696"/>
      <c r="I4" s="696"/>
      <c r="J4" s="696"/>
      <c r="K4" s="696"/>
      <c r="L4" s="696"/>
      <c r="M4" s="696"/>
      <c r="N4" s="696"/>
      <c r="O4" s="238"/>
      <c r="P4" s="238"/>
      <c r="Q4" s="238"/>
      <c r="R4" s="238"/>
      <c r="S4" s="238"/>
      <c r="T4" s="238"/>
      <c r="U4" s="238"/>
      <c r="V4" s="238"/>
      <c r="W4" s="238"/>
    </row>
    <row r="5" spans="1:23" s="10" customFormat="1" ht="16">
      <c r="A5" s="240"/>
      <c r="B5" s="241"/>
      <c r="C5" s="241" t="s">
        <v>63</v>
      </c>
      <c r="D5" s="241" t="s">
        <v>64</v>
      </c>
      <c r="E5" s="241" t="s">
        <v>65</v>
      </c>
      <c r="F5" s="241" t="s">
        <v>66</v>
      </c>
      <c r="G5" s="241" t="s">
        <v>60</v>
      </c>
      <c r="H5" s="241" t="s">
        <v>67</v>
      </c>
      <c r="I5" s="241" t="s">
        <v>68</v>
      </c>
      <c r="J5" s="241" t="s">
        <v>69</v>
      </c>
      <c r="K5" s="241" t="s">
        <v>70</v>
      </c>
      <c r="L5" s="241" t="s">
        <v>71</v>
      </c>
      <c r="M5" s="241" t="s">
        <v>72</v>
      </c>
      <c r="N5" s="241" t="s">
        <v>73</v>
      </c>
      <c r="O5" s="42"/>
      <c r="P5" s="42"/>
      <c r="Q5" s="42"/>
      <c r="R5" s="42"/>
      <c r="S5" s="42"/>
      <c r="T5" s="42"/>
      <c r="U5" s="42"/>
      <c r="V5" s="42"/>
      <c r="W5" s="42"/>
    </row>
    <row r="6" spans="1:23" s="10" customFormat="1" ht="34">
      <c r="A6" s="401" t="s">
        <v>130</v>
      </c>
      <c r="B6" s="402">
        <f>SUM(C6:N6)</f>
        <v>800000</v>
      </c>
      <c r="C6" s="400"/>
      <c r="D6" s="398"/>
      <c r="E6" s="400">
        <v>200000</v>
      </c>
      <c r="F6" s="400">
        <v>200000</v>
      </c>
      <c r="G6" s="398"/>
      <c r="H6" s="398"/>
      <c r="I6" s="400">
        <v>200000</v>
      </c>
      <c r="J6" s="398"/>
      <c r="K6" s="398"/>
      <c r="L6" s="400">
        <v>200000</v>
      </c>
      <c r="M6" s="398"/>
      <c r="N6" s="398"/>
      <c r="O6" s="42"/>
      <c r="P6" s="42"/>
      <c r="Q6" s="42"/>
      <c r="R6" s="42"/>
      <c r="S6" s="42"/>
      <c r="T6" s="42"/>
      <c r="U6" s="42"/>
      <c r="V6" s="42"/>
      <c r="W6" s="42"/>
    </row>
    <row r="7" spans="1:23">
      <c r="A7" s="238"/>
      <c r="B7" s="238"/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38"/>
      <c r="W7" s="238"/>
    </row>
    <row r="8" spans="1:23">
      <c r="A8" s="238"/>
      <c r="B8" s="238"/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  <c r="R8" s="238"/>
      <c r="S8" s="238"/>
      <c r="T8" s="238"/>
      <c r="U8" s="238"/>
      <c r="V8" s="238"/>
      <c r="W8" s="238"/>
    </row>
    <row r="9" spans="1:23">
      <c r="A9" s="238"/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8"/>
      <c r="S9" s="238"/>
      <c r="T9" s="238"/>
      <c r="U9" s="238"/>
      <c r="V9" s="238"/>
      <c r="W9" s="238"/>
    </row>
    <row r="10" spans="1:23">
      <c r="A10" s="238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8"/>
      <c r="S10" s="238"/>
      <c r="T10" s="238"/>
      <c r="U10" s="238"/>
      <c r="V10" s="238"/>
      <c r="W10" s="238"/>
    </row>
    <row r="11" spans="1:23">
      <c r="A11" s="238"/>
      <c r="B11" s="238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8"/>
      <c r="S11" s="238"/>
      <c r="T11" s="238"/>
      <c r="U11" s="238"/>
      <c r="V11" s="238"/>
      <c r="W11" s="238"/>
    </row>
    <row r="12" spans="1:23">
      <c r="A12" s="238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8"/>
      <c r="S12" s="238"/>
      <c r="T12" s="238"/>
      <c r="U12" s="238"/>
      <c r="V12" s="238"/>
      <c r="W12" s="238"/>
    </row>
    <row r="13" spans="1:23">
      <c r="A13" s="238"/>
      <c r="B13" s="238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8"/>
      <c r="Q13" s="238"/>
      <c r="R13" s="238"/>
      <c r="S13" s="238"/>
      <c r="T13" s="238"/>
      <c r="U13" s="238"/>
      <c r="V13" s="238"/>
      <c r="W13" s="238"/>
    </row>
    <row r="14" spans="1:23">
      <c r="A14" s="238"/>
      <c r="B14" s="238"/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</row>
    <row r="15" spans="1:23">
      <c r="A15" s="238"/>
      <c r="B15" s="238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  <c r="R15" s="238"/>
      <c r="S15" s="238"/>
      <c r="T15" s="238"/>
      <c r="U15" s="238"/>
      <c r="V15" s="238"/>
      <c r="W15" s="238"/>
    </row>
    <row r="16" spans="1:23">
      <c r="A16" s="238"/>
      <c r="B16" s="238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  <c r="Q16" s="238"/>
      <c r="R16" s="238"/>
      <c r="S16" s="238"/>
      <c r="T16" s="238"/>
      <c r="U16" s="238"/>
      <c r="V16" s="238"/>
      <c r="W16" s="238"/>
    </row>
    <row r="17" spans="1:23">
      <c r="A17" s="238"/>
      <c r="B17" s="238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  <c r="R17" s="238"/>
      <c r="S17" s="238"/>
      <c r="T17" s="238"/>
      <c r="U17" s="238"/>
      <c r="V17" s="238"/>
      <c r="W17" s="238"/>
    </row>
    <row r="18" spans="1:23">
      <c r="A18" s="238"/>
      <c r="B18" s="238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8"/>
      <c r="S18" s="238"/>
      <c r="T18" s="238"/>
      <c r="U18" s="238"/>
      <c r="V18" s="238"/>
      <c r="W18" s="238"/>
    </row>
    <row r="19" spans="1:23">
      <c r="A19" s="238"/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238"/>
      <c r="P19" s="238"/>
      <c r="Q19" s="238"/>
      <c r="R19" s="238"/>
      <c r="S19" s="238"/>
      <c r="T19" s="238"/>
      <c r="U19" s="238"/>
      <c r="V19" s="238"/>
      <c r="W19" s="238"/>
    </row>
    <row r="20" spans="1:23">
      <c r="A20" s="238"/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8"/>
      <c r="P20" s="238"/>
      <c r="Q20" s="238"/>
      <c r="R20" s="238"/>
      <c r="S20" s="238"/>
      <c r="T20" s="238"/>
      <c r="U20" s="238"/>
      <c r="V20" s="238"/>
      <c r="W20" s="238"/>
    </row>
    <row r="21" spans="1:23">
      <c r="A21" s="238"/>
      <c r="B21" s="238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8"/>
      <c r="R21" s="238"/>
      <c r="S21" s="238"/>
      <c r="T21" s="238"/>
      <c r="U21" s="238"/>
      <c r="V21" s="238"/>
      <c r="W21" s="238"/>
    </row>
    <row r="22" spans="1:23">
      <c r="A22" s="238"/>
      <c r="B22" s="238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8"/>
      <c r="S22" s="238"/>
      <c r="T22" s="238"/>
      <c r="U22" s="238"/>
      <c r="V22" s="238"/>
      <c r="W22" s="238"/>
    </row>
    <row r="23" spans="1:23">
      <c r="A23" s="238"/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8"/>
      <c r="S23" s="238"/>
      <c r="T23" s="238"/>
      <c r="U23" s="238"/>
      <c r="V23" s="238"/>
      <c r="W23" s="238"/>
    </row>
    <row r="24" spans="1:23">
      <c r="A24" s="238"/>
      <c r="B24" s="238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  <c r="R24" s="238"/>
      <c r="S24" s="238"/>
      <c r="T24" s="238"/>
      <c r="U24" s="238"/>
      <c r="V24" s="238"/>
      <c r="W24" s="238"/>
    </row>
    <row r="25" spans="1:23">
      <c r="A25" s="238"/>
      <c r="B25" s="238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8"/>
      <c r="R25" s="238"/>
      <c r="S25" s="238"/>
      <c r="T25" s="238"/>
      <c r="U25" s="238"/>
      <c r="V25" s="238"/>
      <c r="W25" s="238"/>
    </row>
    <row r="26" spans="1:23">
      <c r="A26" s="238"/>
      <c r="B26" s="238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  <c r="R26" s="238"/>
      <c r="S26" s="238"/>
      <c r="T26" s="238"/>
      <c r="U26" s="238"/>
      <c r="V26" s="238"/>
      <c r="W26" s="238"/>
    </row>
    <row r="27" spans="1:23">
      <c r="A27" s="238"/>
      <c r="B27" s="238"/>
      <c r="C27" s="238"/>
      <c r="D27" s="238"/>
      <c r="E27" s="238"/>
      <c r="F27" s="238"/>
      <c r="G27" s="238"/>
      <c r="H27" s="238"/>
      <c r="I27" s="238"/>
      <c r="J27" s="238"/>
      <c r="K27" s="238"/>
      <c r="L27" s="238"/>
      <c r="M27" s="238"/>
      <c r="N27" s="238"/>
      <c r="O27" s="238"/>
      <c r="P27" s="238"/>
      <c r="Q27" s="238"/>
      <c r="R27" s="238"/>
      <c r="S27" s="238"/>
      <c r="T27" s="238"/>
      <c r="U27" s="238"/>
      <c r="V27" s="238"/>
      <c r="W27" s="238"/>
    </row>
    <row r="28" spans="1:23">
      <c r="A28" s="238"/>
      <c r="B28" s="238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8"/>
      <c r="S28" s="238"/>
      <c r="T28" s="238"/>
      <c r="U28" s="238"/>
      <c r="V28" s="238"/>
      <c r="W28" s="238"/>
    </row>
    <row r="29" spans="1:23">
      <c r="A29" s="238"/>
      <c r="B29" s="238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</row>
    <row r="30" spans="1:23">
      <c r="A30" s="238"/>
      <c r="B30" s="238"/>
      <c r="C30" s="238"/>
      <c r="D30" s="238"/>
      <c r="E30" s="238"/>
      <c r="F30" s="238"/>
      <c r="G30" s="238"/>
      <c r="H30" s="238"/>
      <c r="I30" s="238"/>
      <c r="J30" s="238"/>
      <c r="K30" s="238"/>
      <c r="L30" s="238"/>
      <c r="M30" s="238"/>
      <c r="N30" s="238"/>
      <c r="O30" s="238"/>
      <c r="P30" s="238"/>
      <c r="Q30" s="238"/>
      <c r="R30" s="238"/>
      <c r="S30" s="238"/>
      <c r="T30" s="238"/>
      <c r="U30" s="238"/>
      <c r="V30" s="238"/>
      <c r="W30" s="238"/>
    </row>
  </sheetData>
  <mergeCells count="2">
    <mergeCell ref="F1:H1"/>
    <mergeCell ref="A2:N4"/>
  </mergeCells>
  <hyperlinks>
    <hyperlink ref="A1" location="Бюджет" display="Бюджет" xr:uid="{00000000-0004-0000-1B00-000000000000}"/>
    <hyperlink ref="F1:H1" location="Бюджет" display="2-0024" xr:uid="{00000000-0004-0000-1B00-000001000000}"/>
  </hyperlinks>
  <pageMargins left="0.7" right="0.7" top="0.75" bottom="0.75" header="0.3" footer="0.3"/>
  <pageSetup paperSize="9" orientation="portrait" horizontalDpi="0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N27"/>
  <sheetViews>
    <sheetView workbookViewId="0">
      <selection activeCell="C6" sqref="C6:N6"/>
    </sheetView>
  </sheetViews>
  <sheetFormatPr baseColWidth="10" defaultColWidth="8.83203125" defaultRowHeight="15"/>
  <cols>
    <col min="1" max="1" width="47.6640625" customWidth="1"/>
    <col min="2" max="2" width="12.6640625" bestFit="1" customWidth="1"/>
    <col min="3" max="14" width="11.5" customWidth="1"/>
  </cols>
  <sheetData>
    <row r="1" spans="1:14">
      <c r="A1" s="223" t="s">
        <v>206</v>
      </c>
      <c r="F1" s="689" t="s">
        <v>155</v>
      </c>
      <c r="G1" s="689"/>
      <c r="H1" s="689"/>
    </row>
    <row r="2" spans="1:14" ht="18">
      <c r="A2" s="237"/>
      <c r="B2" s="238"/>
      <c r="C2" s="238"/>
      <c r="D2" s="238"/>
      <c r="E2" s="238"/>
      <c r="F2" s="239"/>
      <c r="G2" s="239"/>
      <c r="H2" s="239"/>
      <c r="I2" s="238"/>
      <c r="J2" s="238"/>
      <c r="K2" s="238"/>
      <c r="L2" s="238"/>
      <c r="M2" s="238"/>
      <c r="N2" s="238"/>
    </row>
    <row r="3" spans="1:14" ht="18.75" customHeight="1">
      <c r="A3" s="235" t="s">
        <v>709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</row>
    <row r="4" spans="1:14" ht="18.75" customHeight="1">
      <c r="A4" s="257"/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</row>
    <row r="5" spans="1:14" s="10" customFormat="1" ht="16">
      <c r="A5" s="240"/>
      <c r="B5" s="241"/>
      <c r="C5" s="241" t="s">
        <v>63</v>
      </c>
      <c r="D5" s="241" t="s">
        <v>64</v>
      </c>
      <c r="E5" s="241" t="s">
        <v>65</v>
      </c>
      <c r="F5" s="241" t="s">
        <v>66</v>
      </c>
      <c r="G5" s="241" t="s">
        <v>60</v>
      </c>
      <c r="H5" s="241" t="s">
        <v>67</v>
      </c>
      <c r="I5" s="241" t="s">
        <v>68</v>
      </c>
      <c r="J5" s="241" t="s">
        <v>69</v>
      </c>
      <c r="K5" s="241" t="s">
        <v>70</v>
      </c>
      <c r="L5" s="241" t="s">
        <v>71</v>
      </c>
      <c r="M5" s="241" t="s">
        <v>72</v>
      </c>
      <c r="N5" s="241" t="s">
        <v>73</v>
      </c>
    </row>
    <row r="6" spans="1:14" s="10" customFormat="1" ht="17">
      <c r="A6" s="410" t="s">
        <v>267</v>
      </c>
      <c r="B6" s="394">
        <f>SUM(C6:N6)</f>
        <v>740284.72000000009</v>
      </c>
      <c r="C6" s="67">
        <v>59700.38</v>
      </c>
      <c r="D6" s="67">
        <v>59700.38</v>
      </c>
      <c r="E6" s="67">
        <v>59700.38</v>
      </c>
      <c r="F6" s="67">
        <v>59700.38</v>
      </c>
      <c r="G6" s="67">
        <v>62685.4</v>
      </c>
      <c r="H6" s="67">
        <v>62685.4</v>
      </c>
      <c r="I6" s="67">
        <v>62685.4</v>
      </c>
      <c r="J6" s="67">
        <v>62685.4</v>
      </c>
      <c r="K6" s="67">
        <v>62685.4</v>
      </c>
      <c r="L6" s="67">
        <v>62685.4</v>
      </c>
      <c r="M6" s="67">
        <v>62685.4</v>
      </c>
      <c r="N6" s="67">
        <v>62685.4</v>
      </c>
    </row>
    <row r="7" spans="1:14">
      <c r="A7" s="238"/>
      <c r="B7" s="238"/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</row>
    <row r="8" spans="1:14">
      <c r="A8" s="238"/>
      <c r="B8" s="238"/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</row>
    <row r="9" spans="1:14">
      <c r="A9" s="238"/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</row>
    <row r="10" spans="1:14">
      <c r="A10" s="238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</row>
    <row r="11" spans="1:14">
      <c r="A11" s="238"/>
      <c r="B11" s="238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</row>
    <row r="12" spans="1:14">
      <c r="A12" s="238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</row>
    <row r="13" spans="1:14">
      <c r="A13" s="238"/>
      <c r="B13" s="238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</row>
    <row r="14" spans="1:14">
      <c r="A14" s="238"/>
      <c r="B14" s="238"/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</row>
    <row r="15" spans="1:14">
      <c r="A15" s="238"/>
      <c r="B15" s="238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</row>
    <row r="16" spans="1:14">
      <c r="A16" s="238"/>
      <c r="B16" s="238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</row>
    <row r="17" spans="1:14">
      <c r="A17" s="238"/>
      <c r="B17" s="238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</row>
    <row r="18" spans="1:14">
      <c r="A18" s="238"/>
      <c r="B18" s="238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</row>
    <row r="19" spans="1:14">
      <c r="A19" s="238"/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</row>
    <row r="20" spans="1:14">
      <c r="A20" s="238"/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</row>
    <row r="21" spans="1:14">
      <c r="A21" s="238"/>
      <c r="B21" s="238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</row>
    <row r="22" spans="1:14">
      <c r="A22" s="238"/>
      <c r="B22" s="238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</row>
    <row r="23" spans="1:14">
      <c r="A23" s="238"/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</row>
    <row r="24" spans="1:14">
      <c r="A24" s="238"/>
      <c r="B24" s="238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</row>
    <row r="25" spans="1:14">
      <c r="A25" s="238"/>
      <c r="B25" s="238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</row>
    <row r="26" spans="1:14">
      <c r="A26" s="238"/>
      <c r="B26" s="238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</row>
    <row r="27" spans="1:14">
      <c r="A27" s="238"/>
      <c r="B27" s="238"/>
      <c r="C27" s="238"/>
      <c r="D27" s="238"/>
      <c r="E27" s="238"/>
      <c r="F27" s="238"/>
      <c r="G27" s="238"/>
      <c r="H27" s="238"/>
      <c r="I27" s="238"/>
      <c r="J27" s="238"/>
      <c r="K27" s="238"/>
      <c r="L27" s="238"/>
      <c r="M27" s="238"/>
      <c r="N27" s="238"/>
    </row>
  </sheetData>
  <mergeCells count="1">
    <mergeCell ref="F1:H1"/>
  </mergeCells>
  <hyperlinks>
    <hyperlink ref="A1" location="Бюджет" display="Бюджет" xr:uid="{00000000-0004-0000-1C00-000000000000}"/>
    <hyperlink ref="F1:H1" location="Бюджет" display="2-0025" xr:uid="{00000000-0004-0000-1C00-000001000000}"/>
  </hyperlinks>
  <pageMargins left="0.7" right="0.7" top="0.75" bottom="0.75" header="0.3" footer="0.3"/>
  <pageSetup paperSize="9" orientation="portrait" horizontalDpi="0" verticalDpi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P30"/>
  <sheetViews>
    <sheetView workbookViewId="0"/>
  </sheetViews>
  <sheetFormatPr baseColWidth="10" defaultColWidth="8.83203125" defaultRowHeight="15"/>
  <cols>
    <col min="1" max="1" width="16.5" customWidth="1"/>
    <col min="2" max="2" width="14.6640625" bestFit="1" customWidth="1"/>
    <col min="3" max="14" width="12.6640625" bestFit="1" customWidth="1"/>
  </cols>
  <sheetData>
    <row r="1" spans="1:16">
      <c r="A1" s="237" t="s">
        <v>206</v>
      </c>
      <c r="B1" s="238"/>
      <c r="C1" s="238"/>
      <c r="D1" s="238"/>
      <c r="E1" s="238"/>
      <c r="F1" s="689" t="s">
        <v>156</v>
      </c>
      <c r="G1" s="689"/>
      <c r="H1" s="689"/>
      <c r="I1" s="238"/>
      <c r="J1" s="238"/>
      <c r="K1" s="238"/>
      <c r="L1" s="238"/>
      <c r="M1" s="238"/>
      <c r="N1" s="238"/>
      <c r="O1" s="238"/>
      <c r="P1" s="238"/>
    </row>
    <row r="2" spans="1:16" ht="41.25" customHeight="1">
      <c r="A2" s="692" t="s">
        <v>216</v>
      </c>
      <c r="B2" s="692"/>
      <c r="C2" s="692"/>
      <c r="D2" s="692"/>
      <c r="E2" s="692"/>
      <c r="F2" s="692"/>
      <c r="G2" s="692"/>
      <c r="H2" s="692"/>
      <c r="I2" s="692"/>
      <c r="J2" s="692"/>
      <c r="K2" s="692"/>
      <c r="L2" s="692"/>
      <c r="M2" s="692"/>
      <c r="N2" s="692"/>
      <c r="O2" s="238"/>
      <c r="P2" s="238"/>
    </row>
    <row r="3" spans="1:16" ht="18.75" hidden="1" customHeight="1">
      <c r="A3" s="692"/>
      <c r="B3" s="692"/>
      <c r="C3" s="692"/>
      <c r="D3" s="692"/>
      <c r="E3" s="692"/>
      <c r="F3" s="692"/>
      <c r="G3" s="692"/>
      <c r="H3" s="692"/>
      <c r="I3" s="692"/>
      <c r="J3" s="692"/>
      <c r="K3" s="692"/>
      <c r="L3" s="692"/>
      <c r="M3" s="692"/>
      <c r="N3" s="692"/>
      <c r="O3" s="238"/>
      <c r="P3" s="238"/>
    </row>
    <row r="4" spans="1:16" ht="18.75" hidden="1" customHeight="1">
      <c r="A4" s="692"/>
      <c r="B4" s="692"/>
      <c r="C4" s="692"/>
      <c r="D4" s="692"/>
      <c r="E4" s="692"/>
      <c r="F4" s="692"/>
      <c r="G4" s="692"/>
      <c r="H4" s="692"/>
      <c r="I4" s="692"/>
      <c r="J4" s="692"/>
      <c r="K4" s="692"/>
      <c r="L4" s="692"/>
      <c r="M4" s="692"/>
      <c r="N4" s="692"/>
      <c r="O4" s="238"/>
      <c r="P4" s="238"/>
    </row>
    <row r="5" spans="1:16" ht="18.75" customHeight="1">
      <c r="A5" s="277"/>
      <c r="B5" s="277"/>
      <c r="C5" s="277"/>
      <c r="D5" s="277"/>
      <c r="E5" s="277"/>
      <c r="F5" s="277"/>
      <c r="G5" s="277"/>
      <c r="H5" s="277"/>
      <c r="I5" s="277"/>
      <c r="J5" s="277"/>
      <c r="K5" s="277"/>
      <c r="L5" s="277"/>
      <c r="M5" s="277"/>
      <c r="N5" s="277"/>
      <c r="O5" s="238"/>
      <c r="P5" s="238"/>
    </row>
    <row r="6" spans="1:16" s="10" customFormat="1" ht="16">
      <c r="A6" s="240"/>
      <c r="B6" s="241" t="s">
        <v>122</v>
      </c>
      <c r="C6" s="241" t="s">
        <v>63</v>
      </c>
      <c r="D6" s="241" t="s">
        <v>64</v>
      </c>
      <c r="E6" s="241" t="s">
        <v>65</v>
      </c>
      <c r="F6" s="241" t="s">
        <v>66</v>
      </c>
      <c r="G6" s="241" t="s">
        <v>60</v>
      </c>
      <c r="H6" s="241" t="s">
        <v>67</v>
      </c>
      <c r="I6" s="241" t="s">
        <v>68</v>
      </c>
      <c r="J6" s="241" t="s">
        <v>69</v>
      </c>
      <c r="K6" s="241" t="s">
        <v>70</v>
      </c>
      <c r="L6" s="241" t="s">
        <v>71</v>
      </c>
      <c r="M6" s="241" t="s">
        <v>72</v>
      </c>
      <c r="N6" s="241" t="s">
        <v>73</v>
      </c>
      <c r="O6" s="42"/>
      <c r="P6" s="42"/>
    </row>
    <row r="7" spans="1:16" s="10" customFormat="1" ht="34">
      <c r="A7" s="268" t="s">
        <v>140</v>
      </c>
      <c r="B7" s="232">
        <f>SUM(C7:N7)</f>
        <v>1200000</v>
      </c>
      <c r="C7" s="245">
        <v>100000</v>
      </c>
      <c r="D7" s="245">
        <v>100000</v>
      </c>
      <c r="E7" s="245">
        <v>100000</v>
      </c>
      <c r="F7" s="245">
        <v>100000</v>
      </c>
      <c r="G7" s="245">
        <v>100000</v>
      </c>
      <c r="H7" s="245">
        <v>100000</v>
      </c>
      <c r="I7" s="245">
        <v>100000</v>
      </c>
      <c r="J7" s="245">
        <v>100000</v>
      </c>
      <c r="K7" s="245">
        <v>100000</v>
      </c>
      <c r="L7" s="245">
        <v>100000</v>
      </c>
      <c r="M7" s="245">
        <v>100000</v>
      </c>
      <c r="N7" s="245">
        <v>100000</v>
      </c>
      <c r="O7" s="42"/>
      <c r="P7" s="42"/>
    </row>
    <row r="8" spans="1:16">
      <c r="A8" s="238"/>
      <c r="B8" s="238"/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</row>
    <row r="9" spans="1:16">
      <c r="A9" s="238"/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</row>
    <row r="10" spans="1:16">
      <c r="A10" s="238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</row>
    <row r="11" spans="1:16">
      <c r="A11" s="238"/>
      <c r="B11" s="238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</row>
    <row r="12" spans="1:16">
      <c r="A12" s="238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</row>
    <row r="13" spans="1:16">
      <c r="A13" s="238"/>
      <c r="B13" s="238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8"/>
    </row>
    <row r="14" spans="1:16">
      <c r="A14" s="238"/>
      <c r="B14" s="238"/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</row>
    <row r="15" spans="1:16">
      <c r="A15" s="238"/>
      <c r="B15" s="238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</row>
    <row r="16" spans="1:16">
      <c r="A16" s="238"/>
      <c r="B16" s="238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</row>
    <row r="17" spans="1:16">
      <c r="A17" s="238"/>
      <c r="B17" s="238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</row>
    <row r="18" spans="1:16">
      <c r="A18" s="238"/>
      <c r="B18" s="238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</row>
    <row r="19" spans="1:16">
      <c r="A19" s="238"/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238"/>
      <c r="P19" s="238"/>
    </row>
    <row r="20" spans="1:16">
      <c r="A20" s="238"/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8"/>
      <c r="P20" s="238"/>
    </row>
    <row r="21" spans="1:16">
      <c r="A21" s="238"/>
      <c r="B21" s="238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</row>
    <row r="22" spans="1:16">
      <c r="A22" s="238"/>
      <c r="B22" s="238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</row>
    <row r="23" spans="1:16">
      <c r="A23" s="238"/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</row>
    <row r="24" spans="1:16">
      <c r="A24" s="238"/>
      <c r="B24" s="238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</row>
    <row r="25" spans="1:16">
      <c r="A25" s="238"/>
      <c r="B25" s="238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</row>
    <row r="26" spans="1:16">
      <c r="A26" s="238"/>
      <c r="B26" s="238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8"/>
      <c r="P26" s="238"/>
    </row>
    <row r="27" spans="1:16">
      <c r="A27" s="238"/>
      <c r="B27" s="238"/>
      <c r="C27" s="238"/>
      <c r="D27" s="238"/>
      <c r="E27" s="238"/>
      <c r="F27" s="238"/>
      <c r="G27" s="238"/>
      <c r="H27" s="238"/>
      <c r="I27" s="238"/>
      <c r="J27" s="238"/>
      <c r="K27" s="238"/>
      <c r="L27" s="238"/>
      <c r="M27" s="238"/>
      <c r="N27" s="238"/>
      <c r="O27" s="238"/>
      <c r="P27" s="238"/>
    </row>
    <row r="28" spans="1:16">
      <c r="A28" s="238"/>
      <c r="B28" s="238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</row>
    <row r="29" spans="1:16">
      <c r="A29" s="238"/>
      <c r="B29" s="238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</row>
    <row r="30" spans="1:16">
      <c r="A30" s="238"/>
      <c r="B30" s="238"/>
      <c r="C30" s="238"/>
      <c r="D30" s="238"/>
      <c r="E30" s="238"/>
      <c r="F30" s="238"/>
      <c r="G30" s="238"/>
      <c r="H30" s="238"/>
      <c r="I30" s="238"/>
      <c r="J30" s="238"/>
      <c r="K30" s="238"/>
      <c r="L30" s="238"/>
      <c r="M30" s="238"/>
      <c r="N30" s="238"/>
      <c r="O30" s="238"/>
      <c r="P30" s="238"/>
    </row>
  </sheetData>
  <mergeCells count="2">
    <mergeCell ref="F1:H1"/>
    <mergeCell ref="A2:N4"/>
  </mergeCells>
  <hyperlinks>
    <hyperlink ref="A1" location="Бюджет" display="Бюджет" xr:uid="{00000000-0004-0000-1D00-000000000000}"/>
    <hyperlink ref="F1:H1" location="Бюджет" display="2-0026" xr:uid="{00000000-0004-0000-1D00-00000100000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N4"/>
  <sheetViews>
    <sheetView workbookViewId="0"/>
  </sheetViews>
  <sheetFormatPr baseColWidth="10" defaultColWidth="8.83203125" defaultRowHeight="15"/>
  <cols>
    <col min="1" max="1" width="11" bestFit="1" customWidth="1"/>
    <col min="2" max="2" width="11.33203125" bestFit="1" customWidth="1"/>
    <col min="3" max="5" width="9.83203125" bestFit="1" customWidth="1"/>
    <col min="6" max="6" width="10.33203125" customWidth="1"/>
    <col min="7" max="8" width="8.83203125" customWidth="1"/>
    <col min="9" max="9" width="11" customWidth="1"/>
    <col min="10" max="11" width="8.83203125" customWidth="1"/>
    <col min="12" max="12" width="10.1640625" customWidth="1"/>
    <col min="13" max="14" width="9.83203125" bestFit="1" customWidth="1"/>
  </cols>
  <sheetData>
    <row r="1" spans="1:14">
      <c r="A1" s="223" t="s">
        <v>206</v>
      </c>
      <c r="F1" s="689" t="s">
        <v>157</v>
      </c>
      <c r="G1" s="689"/>
      <c r="H1" s="689"/>
    </row>
    <row r="2" spans="1:14" ht="18">
      <c r="A2" s="223"/>
      <c r="F2" s="239"/>
      <c r="G2" s="239"/>
      <c r="H2" s="239"/>
    </row>
    <row r="3" spans="1:14" s="10" customFormat="1" ht="13">
      <c r="B3" s="274"/>
      <c r="C3" s="274" t="s">
        <v>63</v>
      </c>
      <c r="D3" s="274" t="s">
        <v>64</v>
      </c>
      <c r="E3" s="274" t="s">
        <v>65</v>
      </c>
      <c r="F3" s="274" t="s">
        <v>66</v>
      </c>
      <c r="G3" s="274" t="s">
        <v>60</v>
      </c>
      <c r="H3" s="274" t="s">
        <v>67</v>
      </c>
      <c r="I3" s="274" t="s">
        <v>68</v>
      </c>
      <c r="J3" s="274" t="s">
        <v>69</v>
      </c>
      <c r="K3" s="274" t="s">
        <v>70</v>
      </c>
      <c r="L3" s="274" t="s">
        <v>71</v>
      </c>
      <c r="M3" s="274" t="s">
        <v>72</v>
      </c>
      <c r="N3" s="274" t="s">
        <v>73</v>
      </c>
    </row>
    <row r="4" spans="1:14" s="10" customFormat="1" ht="16">
      <c r="A4" s="411" t="s">
        <v>76</v>
      </c>
      <c r="B4" s="90">
        <f>SUM(C4:N4)</f>
        <v>1770000</v>
      </c>
      <c r="C4" s="413">
        <v>240000</v>
      </c>
      <c r="D4" s="413">
        <v>240000</v>
      </c>
      <c r="E4" s="413">
        <v>240000</v>
      </c>
      <c r="F4" s="413">
        <v>170000</v>
      </c>
      <c r="G4" s="413">
        <v>60000</v>
      </c>
      <c r="H4" s="413">
        <v>60000</v>
      </c>
      <c r="I4" s="413">
        <v>170000</v>
      </c>
      <c r="J4" s="413">
        <v>60000</v>
      </c>
      <c r="K4" s="413">
        <v>60000</v>
      </c>
      <c r="L4" s="413">
        <v>170000</v>
      </c>
      <c r="M4" s="413">
        <v>60000</v>
      </c>
      <c r="N4" s="413">
        <v>240000</v>
      </c>
    </row>
  </sheetData>
  <mergeCells count="1">
    <mergeCell ref="F1:H1"/>
  </mergeCells>
  <hyperlinks>
    <hyperlink ref="A1" location="Бюджет" display="Бюджет" xr:uid="{00000000-0004-0000-1E00-000000000000}"/>
    <hyperlink ref="F1:H1" location="Бюджет" display="2-0027" xr:uid="{00000000-0004-0000-1E00-000001000000}"/>
  </hyperlinks>
  <pageMargins left="0.7" right="0.7" top="0.75" bottom="0.75" header="0.3" footer="0.3"/>
  <pageSetup paperSize="9" orientation="portrait" horizontalDpi="0" verticalDpi="0"/>
  <legacy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N7"/>
  <sheetViews>
    <sheetView workbookViewId="0"/>
  </sheetViews>
  <sheetFormatPr baseColWidth="10" defaultColWidth="8.83203125" defaultRowHeight="15"/>
  <cols>
    <col min="1" max="1" width="30.33203125" customWidth="1"/>
    <col min="2" max="2" width="12.6640625" customWidth="1"/>
    <col min="3" max="3" width="10.5" customWidth="1"/>
    <col min="5" max="5" width="14.6640625" customWidth="1"/>
    <col min="6" max="6" width="15.33203125" customWidth="1"/>
    <col min="7" max="7" width="10.5" customWidth="1"/>
    <col min="8" max="8" width="8.83203125" customWidth="1"/>
    <col min="9" max="9" width="10.5" customWidth="1"/>
    <col min="10" max="10" width="16.33203125" customWidth="1"/>
    <col min="11" max="11" width="9.83203125" customWidth="1"/>
    <col min="12" max="12" width="10.1640625" customWidth="1"/>
    <col min="13" max="13" width="10.6640625" customWidth="1"/>
  </cols>
  <sheetData>
    <row r="1" spans="1:14">
      <c r="A1" s="223" t="s">
        <v>206</v>
      </c>
      <c r="F1" s="689" t="s">
        <v>158</v>
      </c>
      <c r="G1" s="689"/>
      <c r="H1" s="689"/>
    </row>
    <row r="2" spans="1:14">
      <c r="A2" s="223"/>
      <c r="F2" s="273"/>
      <c r="G2" s="273"/>
      <c r="H2" s="273"/>
    </row>
    <row r="3" spans="1:14" ht="19">
      <c r="A3" s="223"/>
      <c r="B3" s="516" t="s">
        <v>680</v>
      </c>
      <c r="F3" s="273"/>
      <c r="G3" s="273"/>
      <c r="H3" s="273"/>
    </row>
    <row r="4" spans="1:14" ht="18">
      <c r="A4" s="223"/>
      <c r="F4" s="239"/>
      <c r="G4" s="239"/>
      <c r="H4" s="239"/>
    </row>
    <row r="5" spans="1:14" s="10" customFormat="1" ht="13">
      <c r="B5" s="87"/>
      <c r="C5" s="87" t="s">
        <v>63</v>
      </c>
      <c r="D5" s="87" t="s">
        <v>64</v>
      </c>
      <c r="E5" s="87" t="s">
        <v>65</v>
      </c>
      <c r="F5" s="87" t="s">
        <v>66</v>
      </c>
      <c r="G5" s="87" t="s">
        <v>60</v>
      </c>
      <c r="H5" s="87" t="s">
        <v>67</v>
      </c>
      <c r="I5" s="87" t="s">
        <v>68</v>
      </c>
      <c r="J5" s="87" t="s">
        <v>69</v>
      </c>
      <c r="K5" s="87" t="s">
        <v>70</v>
      </c>
      <c r="L5" s="87" t="s">
        <v>71</v>
      </c>
      <c r="M5" s="87" t="s">
        <v>72</v>
      </c>
      <c r="N5" s="87" t="s">
        <v>73</v>
      </c>
    </row>
    <row r="6" spans="1:14" s="10" customFormat="1" ht="16">
      <c r="A6" s="119" t="s">
        <v>679</v>
      </c>
      <c r="B6" s="155" t="e">
        <f>SUM(C6:N6)</f>
        <v>#REF!</v>
      </c>
      <c r="C6" s="91" t="e">
        <f t="shared" ref="C6:N6" si="0">SUM(C7:C7)</f>
        <v>#REF!</v>
      </c>
      <c r="D6" s="91" t="e">
        <f t="shared" si="0"/>
        <v>#REF!</v>
      </c>
      <c r="E6" s="91" t="e">
        <f t="shared" si="0"/>
        <v>#REF!</v>
      </c>
      <c r="F6" s="91" t="e">
        <f t="shared" si="0"/>
        <v>#REF!</v>
      </c>
      <c r="G6" s="91" t="e">
        <f t="shared" si="0"/>
        <v>#REF!</v>
      </c>
      <c r="H6" s="91" t="e">
        <f t="shared" si="0"/>
        <v>#REF!</v>
      </c>
      <c r="I6" s="91" t="e">
        <f t="shared" si="0"/>
        <v>#REF!</v>
      </c>
      <c r="J6" s="91" t="e">
        <f t="shared" si="0"/>
        <v>#REF!</v>
      </c>
      <c r="K6" s="91" t="e">
        <f t="shared" si="0"/>
        <v>#REF!</v>
      </c>
      <c r="L6" s="91" t="e">
        <f t="shared" si="0"/>
        <v>#REF!</v>
      </c>
      <c r="M6" s="91" t="e">
        <f t="shared" si="0"/>
        <v>#REF!</v>
      </c>
      <c r="N6" s="91" t="e">
        <f t="shared" si="0"/>
        <v>#REF!</v>
      </c>
    </row>
    <row r="7" spans="1:14">
      <c r="A7" s="452" t="e">
        <f>'2-0011'!#REF!</f>
        <v>#REF!</v>
      </c>
      <c r="B7" s="67"/>
      <c r="C7" s="67" t="e">
        <f>'2-0011'!#REF!</f>
        <v>#REF!</v>
      </c>
      <c r="D7" s="67" t="e">
        <f>'2-0011'!#REF!</f>
        <v>#REF!</v>
      </c>
      <c r="E7" s="67" t="e">
        <f>'2-0011'!#REF!</f>
        <v>#REF!</v>
      </c>
      <c r="F7" s="67" t="e">
        <f>'2-0011'!#REF!</f>
        <v>#REF!</v>
      </c>
      <c r="G7" s="67" t="e">
        <f>'2-0011'!#REF!</f>
        <v>#REF!</v>
      </c>
      <c r="H7" s="67" t="e">
        <f>'2-0011'!#REF!</f>
        <v>#REF!</v>
      </c>
      <c r="I7" s="67" t="e">
        <f>'2-0011'!#REF!</f>
        <v>#REF!</v>
      </c>
      <c r="J7" s="67" t="e">
        <f>'2-0011'!#REF!</f>
        <v>#REF!</v>
      </c>
      <c r="K7" s="67" t="e">
        <f>'2-0011'!#REF!</f>
        <v>#REF!</v>
      </c>
      <c r="L7" s="67" t="e">
        <f>'2-0011'!#REF!</f>
        <v>#REF!</v>
      </c>
      <c r="M7" s="67" t="e">
        <f>'2-0011'!#REF!</f>
        <v>#REF!</v>
      </c>
      <c r="N7" s="67" t="e">
        <f>'2-0011'!#REF!</f>
        <v>#REF!</v>
      </c>
    </row>
  </sheetData>
  <mergeCells count="1">
    <mergeCell ref="F1:H1"/>
  </mergeCells>
  <hyperlinks>
    <hyperlink ref="A1" location="Бюджет" display="Бюджет" xr:uid="{00000000-0004-0000-1F00-000000000000}"/>
    <hyperlink ref="F1:H1" location="Бюджет" display="2-0028" xr:uid="{00000000-0004-0000-1F00-000001000000}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4"/>
  <sheetViews>
    <sheetView workbookViewId="0"/>
  </sheetViews>
  <sheetFormatPr baseColWidth="10" defaultColWidth="9.1640625" defaultRowHeight="15"/>
  <cols>
    <col min="1" max="1" width="19.5" bestFit="1" customWidth="1"/>
    <col min="2" max="2" width="9.83203125" bestFit="1" customWidth="1"/>
    <col min="3" max="3" width="8.83203125" customWidth="1"/>
    <col min="6" max="6" width="8.83203125" customWidth="1"/>
    <col min="7" max="7" width="6.5" customWidth="1"/>
    <col min="8" max="9" width="8.83203125" customWidth="1"/>
    <col min="10" max="10" width="6.5" customWidth="1"/>
    <col min="11" max="12" width="8.83203125" customWidth="1"/>
  </cols>
  <sheetData>
    <row r="1" spans="1:14" ht="19.5" customHeight="1">
      <c r="A1" s="223" t="s">
        <v>206</v>
      </c>
      <c r="F1" s="689" t="s">
        <v>159</v>
      </c>
      <c r="G1" s="689"/>
      <c r="H1" s="689"/>
    </row>
    <row r="2" spans="1:14" ht="19.5" customHeight="1">
      <c r="A2" s="223"/>
      <c r="F2" s="239"/>
      <c r="G2" s="239"/>
      <c r="H2" s="239"/>
    </row>
    <row r="3" spans="1:14" s="10" customFormat="1" ht="13">
      <c r="B3" s="87" t="s">
        <v>122</v>
      </c>
      <c r="C3" s="87" t="s">
        <v>63</v>
      </c>
      <c r="D3" s="87" t="s">
        <v>64</v>
      </c>
      <c r="E3" s="87" t="s">
        <v>65</v>
      </c>
      <c r="F3" s="87" t="s">
        <v>66</v>
      </c>
      <c r="G3" s="87" t="s">
        <v>60</v>
      </c>
      <c r="H3" s="87" t="s">
        <v>67</v>
      </c>
      <c r="I3" s="87" t="s">
        <v>68</v>
      </c>
      <c r="J3" s="87" t="s">
        <v>69</v>
      </c>
      <c r="K3" s="87" t="s">
        <v>70</v>
      </c>
      <c r="L3" s="87" t="s">
        <v>71</v>
      </c>
      <c r="M3" s="87" t="s">
        <v>72</v>
      </c>
      <c r="N3" s="87" t="s">
        <v>73</v>
      </c>
    </row>
    <row r="4" spans="1:14" s="189" customFormat="1" ht="16">
      <c r="A4" s="183" t="s">
        <v>78</v>
      </c>
      <c r="B4" s="184">
        <f>SUM(C4:N4)</f>
        <v>124000</v>
      </c>
      <c r="C4" s="185">
        <v>15000</v>
      </c>
      <c r="D4" s="186"/>
      <c r="E4" s="187"/>
      <c r="F4" s="187">
        <v>15000</v>
      </c>
      <c r="G4" s="188">
        <v>16000</v>
      </c>
      <c r="H4" s="187">
        <v>16000</v>
      </c>
      <c r="I4" s="187">
        <v>15000</v>
      </c>
      <c r="J4" s="188">
        <v>16000</v>
      </c>
      <c r="K4" s="187">
        <v>16000</v>
      </c>
      <c r="L4" s="187">
        <v>15000</v>
      </c>
      <c r="M4" s="186"/>
      <c r="N4" s="187"/>
    </row>
  </sheetData>
  <mergeCells count="1">
    <mergeCell ref="F1:H1"/>
  </mergeCells>
  <hyperlinks>
    <hyperlink ref="A1" location="Бюджет" display="Бюджет" xr:uid="{00000000-0004-0000-2000-000000000000}"/>
    <hyperlink ref="F1:H1" location="Бюджет" display="2-0029" xr:uid="{00000000-0004-0000-2000-000001000000}"/>
  </hyperlinks>
  <pageMargins left="0.7" right="0.7" top="0.75" bottom="0.75" header="0.3" footer="0.3"/>
  <legacy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6"/>
  <sheetViews>
    <sheetView workbookViewId="0"/>
  </sheetViews>
  <sheetFormatPr baseColWidth="10" defaultColWidth="8.83203125" defaultRowHeight="15"/>
  <cols>
    <col min="1" max="1" width="22.1640625" customWidth="1"/>
    <col min="2" max="2" width="12.1640625" customWidth="1"/>
  </cols>
  <sheetData>
    <row r="1" spans="1:14">
      <c r="A1" s="223" t="s">
        <v>206</v>
      </c>
      <c r="F1" s="689" t="s">
        <v>160</v>
      </c>
      <c r="G1" s="689"/>
      <c r="H1" s="689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0" customFormat="1" ht="32">
      <c r="A3" s="183" t="s">
        <v>684</v>
      </c>
      <c r="B3" s="520">
        <f>SUM(C3:N3)</f>
        <v>106500</v>
      </c>
      <c r="C3" s="523">
        <f>SUM(C4:C5)</f>
        <v>16000</v>
      </c>
      <c r="D3" s="523">
        <f t="shared" ref="D3:N3" si="0">SUM(D4:D5)</f>
        <v>7500</v>
      </c>
      <c r="E3" s="523">
        <f t="shared" si="0"/>
        <v>5000</v>
      </c>
      <c r="F3" s="523">
        <f t="shared" si="0"/>
        <v>26000</v>
      </c>
      <c r="G3" s="523">
        <f t="shared" si="0"/>
        <v>0</v>
      </c>
      <c r="H3" s="523">
        <f t="shared" si="0"/>
        <v>0</v>
      </c>
      <c r="I3" s="523">
        <f t="shared" si="0"/>
        <v>16000</v>
      </c>
      <c r="J3" s="523">
        <f t="shared" si="0"/>
        <v>0</v>
      </c>
      <c r="K3" s="523">
        <f t="shared" si="0"/>
        <v>0</v>
      </c>
      <c r="L3" s="523">
        <f t="shared" si="0"/>
        <v>36000</v>
      </c>
      <c r="M3" s="523">
        <f t="shared" si="0"/>
        <v>0</v>
      </c>
      <c r="N3" s="523">
        <f t="shared" si="0"/>
        <v>0</v>
      </c>
    </row>
    <row r="4" spans="1:14" s="10" customFormat="1" ht="16">
      <c r="A4" s="519" t="s">
        <v>683</v>
      </c>
      <c r="B4" s="520"/>
      <c r="C4" s="186">
        <v>16000</v>
      </c>
      <c r="D4" s="186"/>
      <c r="E4" s="186"/>
      <c r="F4" s="521">
        <v>16000</v>
      </c>
      <c r="G4" s="186"/>
      <c r="H4" s="521"/>
      <c r="I4" s="186">
        <v>16000</v>
      </c>
      <c r="J4" s="186"/>
      <c r="K4" s="186"/>
      <c r="L4" s="521">
        <v>16000</v>
      </c>
      <c r="M4" s="186"/>
      <c r="N4" s="186"/>
    </row>
    <row r="5" spans="1:14" ht="16">
      <c r="A5" s="183" t="s">
        <v>133</v>
      </c>
      <c r="B5" s="522"/>
      <c r="C5" s="186"/>
      <c r="D5" s="186">
        <v>7500</v>
      </c>
      <c r="E5" s="186">
        <v>5000</v>
      </c>
      <c r="F5" s="521">
        <v>10000</v>
      </c>
      <c r="G5" s="186"/>
      <c r="H5" s="521"/>
      <c r="I5" s="186"/>
      <c r="J5" s="186"/>
      <c r="K5" s="186"/>
      <c r="L5" s="521">
        <v>20000</v>
      </c>
      <c r="M5" s="186"/>
      <c r="N5" s="186"/>
    </row>
    <row r="6" spans="1:14"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</row>
  </sheetData>
  <mergeCells count="1">
    <mergeCell ref="F1:H1"/>
  </mergeCells>
  <hyperlinks>
    <hyperlink ref="A1" location="Бюджет" display="Бюджет" xr:uid="{00000000-0004-0000-2100-000000000000}"/>
    <hyperlink ref="F1:H1" location="Бюджет" display="2-0029" xr:uid="{00000000-0004-0000-2100-000001000000}"/>
  </hyperlinks>
  <pageMargins left="0.7" right="0.7" top="0.75" bottom="0.75" header="0.3" footer="0.3"/>
  <pageSetup paperSize="9" orientation="portrait" horizontalDpi="0" verticalDpi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3"/>
  <sheetViews>
    <sheetView workbookViewId="0">
      <selection activeCell="B2" sqref="B2"/>
    </sheetView>
  </sheetViews>
  <sheetFormatPr baseColWidth="10" defaultColWidth="8.83203125" defaultRowHeight="15"/>
  <cols>
    <col min="1" max="1" width="48.5" customWidth="1"/>
    <col min="2" max="2" width="12.33203125" customWidth="1"/>
    <col min="3" max="5" width="8.83203125" customWidth="1"/>
    <col min="6" max="6" width="10" customWidth="1"/>
    <col min="7" max="7" width="11.5" customWidth="1"/>
    <col min="8" max="8" width="12" customWidth="1"/>
    <col min="9" max="9" width="10.33203125" customWidth="1"/>
    <col min="10" max="10" width="11" customWidth="1"/>
    <col min="11" max="11" width="10.6640625" customWidth="1"/>
    <col min="12" max="12" width="9.83203125" bestFit="1" customWidth="1"/>
    <col min="13" max="14" width="8.83203125" customWidth="1"/>
  </cols>
  <sheetData>
    <row r="1" spans="1:14">
      <c r="A1" s="223" t="s">
        <v>206</v>
      </c>
      <c r="F1" s="689" t="s">
        <v>161</v>
      </c>
      <c r="G1" s="689"/>
      <c r="H1" s="689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0" customFormat="1" ht="32">
      <c r="A3" s="119" t="s">
        <v>268</v>
      </c>
      <c r="B3" s="155">
        <f>SUM(C3:N3)</f>
        <v>800000</v>
      </c>
      <c r="C3" s="415">
        <v>40000</v>
      </c>
      <c r="D3" s="415">
        <v>40000</v>
      </c>
      <c r="E3" s="415">
        <v>40000</v>
      </c>
      <c r="F3" s="415">
        <v>120000</v>
      </c>
      <c r="G3" s="415">
        <v>120000</v>
      </c>
      <c r="H3" s="415">
        <v>40000</v>
      </c>
      <c r="I3" s="415">
        <v>40000</v>
      </c>
      <c r="J3" s="416">
        <v>40000</v>
      </c>
      <c r="K3" s="416">
        <v>120000</v>
      </c>
      <c r="L3" s="416">
        <v>120000</v>
      </c>
      <c r="M3" s="415">
        <v>40000</v>
      </c>
      <c r="N3" s="415">
        <v>40000</v>
      </c>
    </row>
  </sheetData>
  <mergeCells count="1">
    <mergeCell ref="F1:H1"/>
  </mergeCells>
  <hyperlinks>
    <hyperlink ref="A1" location="Бюджет" display="Бюджет" xr:uid="{00000000-0004-0000-2200-000000000000}"/>
    <hyperlink ref="F1:H1" location="Бюджет" display="2-0031" xr:uid="{00000000-0004-0000-2200-000001000000}"/>
  </hyperlinks>
  <pageMargins left="0.7" right="0.7" top="0.75" bottom="0.75" header="0.3" footer="0.3"/>
  <pageSetup paperSize="9" orientation="portrait" horizontalDpi="0" verticalDpi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N3"/>
  <sheetViews>
    <sheetView workbookViewId="0">
      <selection activeCell="B2" sqref="B2"/>
    </sheetView>
  </sheetViews>
  <sheetFormatPr baseColWidth="10" defaultColWidth="8.83203125" defaultRowHeight="15"/>
  <cols>
    <col min="1" max="1" width="18.83203125" customWidth="1"/>
    <col min="2" max="2" width="14.5" customWidth="1"/>
    <col min="3" max="3" width="8.83203125" customWidth="1"/>
    <col min="6" max="6" width="8.83203125" customWidth="1"/>
    <col min="7" max="7" width="11.33203125" bestFit="1" customWidth="1"/>
    <col min="9" max="9" width="8.83203125" customWidth="1"/>
    <col min="12" max="12" width="8.83203125" customWidth="1"/>
  </cols>
  <sheetData>
    <row r="1" spans="1:14">
      <c r="A1" s="223" t="s">
        <v>206</v>
      </c>
      <c r="F1" s="689" t="s">
        <v>162</v>
      </c>
      <c r="G1" s="689"/>
      <c r="H1" s="689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6">
      <c r="A3" s="275" t="s">
        <v>685</v>
      </c>
      <c r="B3" s="217">
        <f>SUM(C3:N3)</f>
        <v>0</v>
      </c>
      <c r="C3" s="417"/>
      <c r="D3" s="417"/>
      <c r="E3" s="417"/>
      <c r="F3" s="417"/>
      <c r="G3" s="417"/>
      <c r="H3" s="417"/>
      <c r="I3" s="417"/>
      <c r="J3" s="417"/>
      <c r="K3" s="417"/>
      <c r="L3" s="417"/>
      <c r="M3" s="417"/>
      <c r="N3" s="417"/>
    </row>
  </sheetData>
  <mergeCells count="1">
    <mergeCell ref="F1:H1"/>
  </mergeCells>
  <hyperlinks>
    <hyperlink ref="A1" location="Бюджет" display="Бюджет" xr:uid="{00000000-0004-0000-2300-000000000000}"/>
    <hyperlink ref="F1:H1" location="Бюджет" display="2-0029" xr:uid="{00000000-0004-0000-2300-000001000000}"/>
  </hyperlinks>
  <pageMargins left="0.7" right="0.7" top="0.75" bottom="0.75" header="0.3" footer="0.3"/>
  <pageSetup paperSize="9" orientation="portrait" horizontalDpi="0" verticalDpi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N4"/>
  <sheetViews>
    <sheetView workbookViewId="0">
      <selection activeCell="B2" sqref="B2"/>
    </sheetView>
  </sheetViews>
  <sheetFormatPr baseColWidth="10" defaultColWidth="8.83203125" defaultRowHeight="15"/>
  <cols>
    <col min="1" max="1" width="47.1640625" customWidth="1"/>
    <col min="2" max="2" width="14" customWidth="1"/>
    <col min="6" max="6" width="9.83203125" bestFit="1" customWidth="1"/>
    <col min="7" max="7" width="13.5" customWidth="1"/>
    <col min="8" max="8" width="14.5" customWidth="1"/>
    <col min="9" max="9" width="12.83203125" customWidth="1"/>
    <col min="10" max="10" width="12.5" customWidth="1"/>
    <col min="11" max="11" width="12.83203125" customWidth="1"/>
    <col min="12" max="12" width="10.83203125" customWidth="1"/>
  </cols>
  <sheetData>
    <row r="1" spans="1:14">
      <c r="A1" s="223" t="s">
        <v>206</v>
      </c>
      <c r="F1" s="689" t="s">
        <v>163</v>
      </c>
      <c r="G1" s="689"/>
      <c r="H1" s="689"/>
    </row>
    <row r="2" spans="1:14" s="10" customFormat="1" ht="13">
      <c r="B2" s="87"/>
      <c r="C2" s="274" t="s">
        <v>63</v>
      </c>
      <c r="D2" s="274" t="s">
        <v>64</v>
      </c>
      <c r="E2" s="274" t="s">
        <v>65</v>
      </c>
      <c r="F2" s="274" t="s">
        <v>66</v>
      </c>
      <c r="G2" s="274" t="s">
        <v>60</v>
      </c>
      <c r="H2" s="274" t="s">
        <v>67</v>
      </c>
      <c r="I2" s="274" t="s">
        <v>68</v>
      </c>
      <c r="J2" s="274" t="s">
        <v>69</v>
      </c>
      <c r="K2" s="274" t="s">
        <v>70</v>
      </c>
      <c r="L2" s="274" t="s">
        <v>71</v>
      </c>
      <c r="M2" s="274" t="s">
        <v>72</v>
      </c>
      <c r="N2" s="274" t="s">
        <v>73</v>
      </c>
    </row>
    <row r="3" spans="1:14" s="10" customFormat="1" ht="16">
      <c r="A3" s="119" t="s">
        <v>81</v>
      </c>
      <c r="B3" s="158">
        <f>SUM(C3:N3)</f>
        <v>50000</v>
      </c>
      <c r="C3" s="418"/>
      <c r="D3" s="419"/>
      <c r="E3" s="412"/>
      <c r="F3" s="412">
        <f t="shared" ref="F3:L3" si="0">SUM(F4:F4)</f>
        <v>0</v>
      </c>
      <c r="G3" s="412">
        <f t="shared" si="0"/>
        <v>50000</v>
      </c>
      <c r="H3" s="412">
        <f t="shared" si="0"/>
        <v>0</v>
      </c>
      <c r="I3" s="412">
        <f t="shared" si="0"/>
        <v>0</v>
      </c>
      <c r="J3" s="412">
        <f t="shared" si="0"/>
        <v>0</v>
      </c>
      <c r="K3" s="412">
        <f t="shared" si="0"/>
        <v>0</v>
      </c>
      <c r="L3" s="412">
        <f t="shared" si="0"/>
        <v>0</v>
      </c>
      <c r="M3" s="412"/>
      <c r="N3" s="419"/>
    </row>
    <row r="4" spans="1:14">
      <c r="A4" s="67" t="s">
        <v>712</v>
      </c>
      <c r="B4" s="67"/>
      <c r="C4" s="67"/>
      <c r="D4" s="67"/>
      <c r="E4" s="67"/>
      <c r="F4" s="67"/>
      <c r="G4" s="67">
        <v>50000</v>
      </c>
      <c r="H4" s="67"/>
      <c r="I4" s="67"/>
      <c r="J4" s="67"/>
      <c r="K4" s="67"/>
      <c r="L4" s="67"/>
      <c r="M4" s="67"/>
      <c r="N4" s="67"/>
    </row>
  </sheetData>
  <mergeCells count="1">
    <mergeCell ref="F1:H1"/>
  </mergeCells>
  <hyperlinks>
    <hyperlink ref="A1" location="Бюджет" display="Бюджет" xr:uid="{00000000-0004-0000-2400-000000000000}"/>
    <hyperlink ref="F1:H1" location="Бюджет" display="2-0033" xr:uid="{00000000-0004-0000-2400-000001000000}"/>
  </hyperlinks>
  <pageMargins left="0.7" right="0.7" top="0.75" bottom="0.75" header="0.3" footer="0.3"/>
  <pageSetup paperSize="9" orientation="portrait" horizontalDpi="0" verticalDpi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N3"/>
  <sheetViews>
    <sheetView workbookViewId="0"/>
  </sheetViews>
  <sheetFormatPr baseColWidth="10" defaultColWidth="8.83203125" defaultRowHeight="15"/>
  <cols>
    <col min="1" max="1" width="27.1640625" bestFit="1" customWidth="1"/>
    <col min="2" max="2" width="9.83203125" bestFit="1" customWidth="1"/>
    <col min="12" max="14" width="9.83203125" bestFit="1" customWidth="1"/>
  </cols>
  <sheetData>
    <row r="1" spans="1:14">
      <c r="A1" s="223" t="s">
        <v>206</v>
      </c>
      <c r="F1" s="689" t="s">
        <v>164</v>
      </c>
      <c r="G1" s="689"/>
      <c r="H1" s="689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0" customFormat="1" ht="32">
      <c r="A3" s="119" t="s">
        <v>314</v>
      </c>
      <c r="B3" s="155">
        <f>SUM(C3:N3)</f>
        <v>100000</v>
      </c>
      <c r="C3" s="413"/>
      <c r="D3" s="413">
        <v>50000</v>
      </c>
      <c r="E3" s="397"/>
      <c r="F3" s="397"/>
      <c r="G3" s="413"/>
      <c r="H3" s="397"/>
      <c r="I3" s="397"/>
      <c r="J3" s="397"/>
      <c r="K3" s="397"/>
      <c r="L3" s="413"/>
      <c r="M3" s="413"/>
      <c r="N3" s="413">
        <v>50000</v>
      </c>
    </row>
  </sheetData>
  <mergeCells count="1">
    <mergeCell ref="F1:H1"/>
  </mergeCells>
  <hyperlinks>
    <hyperlink ref="A1" location="Бюджет" display="Бюджет" xr:uid="{00000000-0004-0000-2500-000000000000}"/>
    <hyperlink ref="F1:H1" location="Бюджет" display="2-0029" xr:uid="{00000000-0004-0000-2500-000001000000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N3"/>
  <sheetViews>
    <sheetView workbookViewId="0"/>
  </sheetViews>
  <sheetFormatPr baseColWidth="10" defaultColWidth="8.83203125" defaultRowHeight="15"/>
  <cols>
    <col min="1" max="1" width="44.5" customWidth="1"/>
    <col min="2" max="2" width="9.83203125" bestFit="1" customWidth="1"/>
    <col min="3" max="4" width="8.83203125" customWidth="1"/>
    <col min="14" max="14" width="8.83203125" customWidth="1"/>
  </cols>
  <sheetData>
    <row r="1" spans="1:14">
      <c r="A1" s="223" t="s">
        <v>206</v>
      </c>
      <c r="F1" s="689" t="s">
        <v>165</v>
      </c>
      <c r="G1" s="689"/>
      <c r="H1" s="689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3" customFormat="1" ht="16">
      <c r="A3" s="192" t="s">
        <v>83</v>
      </c>
      <c r="B3" s="156">
        <f>SUM(C3:N3)</f>
        <v>80000</v>
      </c>
      <c r="C3" s="420">
        <v>30000</v>
      </c>
      <c r="D3" s="421"/>
      <c r="E3" s="422"/>
      <c r="F3" s="422"/>
      <c r="G3" s="422"/>
      <c r="H3" s="422"/>
      <c r="I3" s="422"/>
      <c r="J3" s="422"/>
      <c r="K3" s="422"/>
      <c r="L3" s="422"/>
      <c r="M3" s="422">
        <v>50000</v>
      </c>
      <c r="N3" s="421"/>
    </row>
  </sheetData>
  <mergeCells count="1">
    <mergeCell ref="F1:H1"/>
  </mergeCells>
  <hyperlinks>
    <hyperlink ref="A1" location="Бюджет" display="Бюджет" xr:uid="{00000000-0004-0000-2600-000000000000}"/>
    <hyperlink ref="F1:H1" location="Бюджет" display="2-0035" xr:uid="{00000000-0004-0000-2600-000001000000}"/>
  </hyperlinks>
  <pageMargins left="0.7" right="0.7" top="0.75" bottom="0.75" header="0.3" footer="0.3"/>
  <pageSetup paperSize="9" orientation="portrait" horizontalDpi="0" verticalDpi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N6"/>
  <sheetViews>
    <sheetView workbookViewId="0"/>
  </sheetViews>
  <sheetFormatPr baseColWidth="10" defaultColWidth="8.83203125" defaultRowHeight="15"/>
  <cols>
    <col min="1" max="1" width="71.5" customWidth="1"/>
    <col min="2" max="2" width="12.5" customWidth="1"/>
    <col min="7" max="7" width="12" customWidth="1"/>
    <col min="8" max="8" width="11.6640625" customWidth="1"/>
    <col min="9" max="9" width="13.6640625" customWidth="1"/>
    <col min="10" max="11" width="9.83203125" bestFit="1" customWidth="1"/>
  </cols>
  <sheetData>
    <row r="1" spans="1:14">
      <c r="A1" s="223" t="s">
        <v>206</v>
      </c>
      <c r="F1" s="689" t="s">
        <v>166</v>
      </c>
      <c r="G1" s="689"/>
      <c r="H1" s="689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0" customFormat="1" ht="16">
      <c r="A3" s="119" t="s">
        <v>710</v>
      </c>
      <c r="B3" s="158">
        <f>SUM(C3:N3)</f>
        <v>0</v>
      </c>
      <c r="C3" s="412">
        <f>SUM(C4:C6)</f>
        <v>0</v>
      </c>
      <c r="D3" s="412">
        <f t="shared" ref="D3:N3" si="0">SUM(D4:D6)</f>
        <v>0</v>
      </c>
      <c r="E3" s="412">
        <f t="shared" si="0"/>
        <v>0</v>
      </c>
      <c r="F3" s="412">
        <f t="shared" si="0"/>
        <v>0</v>
      </c>
      <c r="G3" s="412">
        <f t="shared" si="0"/>
        <v>0</v>
      </c>
      <c r="H3" s="412">
        <f t="shared" si="0"/>
        <v>0</v>
      </c>
      <c r="I3" s="412">
        <f t="shared" si="0"/>
        <v>0</v>
      </c>
      <c r="J3" s="412">
        <f t="shared" si="0"/>
        <v>0</v>
      </c>
      <c r="K3" s="412">
        <f t="shared" si="0"/>
        <v>0</v>
      </c>
      <c r="L3" s="412">
        <f t="shared" si="0"/>
        <v>0</v>
      </c>
      <c r="M3" s="412">
        <f t="shared" si="0"/>
        <v>0</v>
      </c>
      <c r="N3" s="412">
        <f t="shared" si="0"/>
        <v>0</v>
      </c>
    </row>
    <row r="4" spans="1:14">
      <c r="A4" s="67" t="s">
        <v>202</v>
      </c>
      <c r="B4" s="67"/>
      <c r="C4" s="67"/>
      <c r="D4" s="67"/>
      <c r="E4" s="67"/>
      <c r="F4" s="67"/>
      <c r="G4" s="67"/>
      <c r="H4" s="416"/>
      <c r="I4" s="416"/>
      <c r="J4" s="416"/>
      <c r="K4" s="416"/>
      <c r="L4" s="416"/>
      <c r="M4" s="67"/>
      <c r="N4" s="67"/>
    </row>
    <row r="5" spans="1:14">
      <c r="A5" s="67" t="s">
        <v>686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</row>
    <row r="6" spans="1:14">
      <c r="A6" s="67" t="s">
        <v>731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</row>
  </sheetData>
  <mergeCells count="1">
    <mergeCell ref="F1:H1"/>
  </mergeCells>
  <hyperlinks>
    <hyperlink ref="A1" location="Бюджет" display="Бюджет" xr:uid="{00000000-0004-0000-2700-000000000000}"/>
    <hyperlink ref="F1:H1" location="Бюджет" display="2-0029" xr:uid="{00000000-0004-0000-2700-000001000000}"/>
  </hyperlinks>
  <pageMargins left="0.7" right="0.7" top="0.75" bottom="0.75" header="0.3" footer="0.3"/>
  <pageSetup paperSize="9" orientation="portrait" horizontalDpi="0" verticalDpi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N5"/>
  <sheetViews>
    <sheetView workbookViewId="0"/>
  </sheetViews>
  <sheetFormatPr baseColWidth="10" defaultColWidth="8.83203125" defaultRowHeight="15"/>
  <cols>
    <col min="1" max="1" width="68.6640625" customWidth="1"/>
    <col min="2" max="2" width="13.83203125" customWidth="1"/>
    <col min="4" max="4" width="11.1640625" customWidth="1"/>
    <col min="5" max="6" width="9.83203125" bestFit="1" customWidth="1"/>
    <col min="7" max="7" width="11.6640625" customWidth="1"/>
    <col min="8" max="8" width="10.5" customWidth="1"/>
    <col min="9" max="9" width="10.83203125" customWidth="1"/>
    <col min="10" max="11" width="10.5" customWidth="1"/>
    <col min="12" max="12" width="10.83203125" customWidth="1"/>
    <col min="13" max="13" width="11" customWidth="1"/>
  </cols>
  <sheetData>
    <row r="1" spans="1:14">
      <c r="A1" s="223" t="s">
        <v>206</v>
      </c>
      <c r="F1" s="689" t="s">
        <v>167</v>
      </c>
      <c r="G1" s="689"/>
      <c r="H1" s="689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0" customFormat="1" ht="16">
      <c r="A3" s="119" t="s">
        <v>645</v>
      </c>
      <c r="B3" s="158">
        <f>SUM(C3:N3)</f>
        <v>560000</v>
      </c>
      <c r="C3" s="423">
        <f>SUM(C4:C4)</f>
        <v>0</v>
      </c>
      <c r="D3" s="423">
        <f>SUM(D4:D4)</f>
        <v>0</v>
      </c>
      <c r="E3" s="423">
        <f>SUM(E4:E103)</f>
        <v>0</v>
      </c>
      <c r="F3" s="423">
        <f>SUM(F4:F103)</f>
        <v>70000</v>
      </c>
      <c r="G3" s="423">
        <f>SUM(G4:G103)</f>
        <v>70000</v>
      </c>
      <c r="H3" s="423">
        <f t="shared" ref="H3:N3" si="0">SUM(H4:H103)</f>
        <v>70000</v>
      </c>
      <c r="I3" s="423">
        <f t="shared" si="0"/>
        <v>70000</v>
      </c>
      <c r="J3" s="423">
        <f t="shared" si="0"/>
        <v>70000</v>
      </c>
      <c r="K3" s="423">
        <f t="shared" si="0"/>
        <v>70000</v>
      </c>
      <c r="L3" s="423">
        <f t="shared" si="0"/>
        <v>70000</v>
      </c>
      <c r="M3" s="423">
        <f t="shared" si="0"/>
        <v>70000</v>
      </c>
      <c r="N3" s="423">
        <f t="shared" si="0"/>
        <v>0</v>
      </c>
    </row>
    <row r="4" spans="1:14" ht="32">
      <c r="A4" s="386" t="s">
        <v>681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4">
      <c r="A5" s="67" t="s">
        <v>721</v>
      </c>
      <c r="B5" s="67"/>
      <c r="C5" s="67"/>
      <c r="D5" s="67"/>
      <c r="E5" s="67"/>
      <c r="F5" s="67">
        <v>70000</v>
      </c>
      <c r="G5" s="67">
        <v>70000</v>
      </c>
      <c r="H5" s="67">
        <v>70000</v>
      </c>
      <c r="I5" s="67">
        <v>70000</v>
      </c>
      <c r="J5" s="67">
        <v>70000</v>
      </c>
      <c r="K5" s="67">
        <v>70000</v>
      </c>
      <c r="L5" s="67">
        <v>70000</v>
      </c>
      <c r="M5" s="67">
        <v>70000</v>
      </c>
      <c r="N5" s="67"/>
    </row>
  </sheetData>
  <mergeCells count="1">
    <mergeCell ref="F1:H1"/>
  </mergeCells>
  <hyperlinks>
    <hyperlink ref="A1" location="Бюджет" display="Бюджет" xr:uid="{00000000-0004-0000-2800-000000000000}"/>
    <hyperlink ref="F1:H1" location="Бюджет" display="2-0037" xr:uid="{00000000-0004-0000-2800-000001000000}"/>
  </hyperlinks>
  <pageMargins left="0.7" right="0.7" top="0.75" bottom="0.75" header="0.3" footer="0.3"/>
  <pageSetup paperSize="9" orientation="portrait" horizontalDpi="0" verticalDpi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N4"/>
  <sheetViews>
    <sheetView workbookViewId="0"/>
  </sheetViews>
  <sheetFormatPr baseColWidth="10" defaultColWidth="8.83203125" defaultRowHeight="15"/>
  <cols>
    <col min="1" max="1" width="33.5" bestFit="1" customWidth="1"/>
    <col min="2" max="2" width="13.83203125" customWidth="1"/>
    <col min="6" max="6" width="9.83203125" bestFit="1" customWidth="1"/>
    <col min="8" max="8" width="8.83203125" customWidth="1"/>
    <col min="11" max="11" width="9.83203125" bestFit="1" customWidth="1"/>
  </cols>
  <sheetData>
    <row r="1" spans="1:14">
      <c r="A1" s="223" t="s">
        <v>206</v>
      </c>
      <c r="F1" s="689" t="s">
        <v>168</v>
      </c>
      <c r="G1" s="689"/>
      <c r="H1" s="689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0" customFormat="1" ht="16">
      <c r="A3" s="124" t="s">
        <v>87</v>
      </c>
      <c r="B3" s="158">
        <f>SUM(B4)</f>
        <v>0</v>
      </c>
      <c r="C3" s="158">
        <f t="shared" ref="C3:N3" si="0">SUM(C4)</f>
        <v>0</v>
      </c>
      <c r="D3" s="158">
        <f t="shared" si="0"/>
        <v>0</v>
      </c>
      <c r="E3" s="158">
        <f t="shared" si="0"/>
        <v>0</v>
      </c>
      <c r="F3" s="158">
        <f t="shared" si="0"/>
        <v>0</v>
      </c>
      <c r="G3" s="158">
        <f t="shared" si="0"/>
        <v>0</v>
      </c>
      <c r="H3" s="158">
        <f t="shared" si="0"/>
        <v>0</v>
      </c>
      <c r="I3" s="158">
        <f t="shared" si="0"/>
        <v>0</v>
      </c>
      <c r="J3" s="158">
        <f t="shared" si="0"/>
        <v>0</v>
      </c>
      <c r="K3" s="158">
        <f t="shared" si="0"/>
        <v>0</v>
      </c>
      <c r="L3" s="158">
        <f t="shared" si="0"/>
        <v>0</v>
      </c>
      <c r="M3" s="158">
        <f t="shared" si="0"/>
        <v>0</v>
      </c>
      <c r="N3" s="158">
        <f t="shared" si="0"/>
        <v>0</v>
      </c>
    </row>
    <row r="4" spans="1:14" ht="16">
      <c r="A4" s="124" t="s">
        <v>87</v>
      </c>
      <c r="B4" s="158">
        <f>SUM(C4:N4)</f>
        <v>0</v>
      </c>
      <c r="C4" s="414"/>
      <c r="D4" s="416"/>
      <c r="E4" s="416"/>
      <c r="F4" s="416"/>
      <c r="G4" s="416"/>
      <c r="H4" s="416"/>
      <c r="I4" s="424"/>
      <c r="J4" s="416"/>
      <c r="K4" s="416"/>
      <c r="L4" s="397"/>
      <c r="M4" s="416"/>
      <c r="N4" s="416"/>
    </row>
  </sheetData>
  <mergeCells count="1">
    <mergeCell ref="F1:H1"/>
  </mergeCells>
  <hyperlinks>
    <hyperlink ref="A1" location="Бюджет" display="Бюджет" xr:uid="{00000000-0004-0000-2900-000000000000}"/>
    <hyperlink ref="F1:H1" location="Бюджет" display="2-0029" xr:uid="{00000000-0004-0000-2900-000001000000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N3"/>
  <sheetViews>
    <sheetView workbookViewId="0"/>
  </sheetViews>
  <sheetFormatPr baseColWidth="10" defaultColWidth="8.83203125" defaultRowHeight="15"/>
  <cols>
    <col min="1" max="1" width="35" bestFit="1" customWidth="1"/>
    <col min="2" max="2" width="9.5" customWidth="1"/>
    <col min="3" max="3" width="11.5" customWidth="1"/>
    <col min="4" max="14" width="8.5" customWidth="1"/>
  </cols>
  <sheetData>
    <row r="1" spans="1:14">
      <c r="A1" s="223" t="s">
        <v>206</v>
      </c>
      <c r="F1" s="689" t="s">
        <v>169</v>
      </c>
      <c r="G1" s="689"/>
      <c r="H1" s="689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6" customFormat="1" ht="16">
      <c r="A3" s="194" t="s">
        <v>88</v>
      </c>
      <c r="B3" s="195">
        <f>SUM(C3:N3)</f>
        <v>210000</v>
      </c>
      <c r="C3" s="425">
        <v>35000</v>
      </c>
      <c r="D3" s="425"/>
      <c r="E3" s="425">
        <v>35000</v>
      </c>
      <c r="F3" s="425"/>
      <c r="G3" s="425">
        <v>35000</v>
      </c>
      <c r="H3" s="425"/>
      <c r="I3" s="425">
        <v>35000</v>
      </c>
      <c r="J3" s="425"/>
      <c r="K3" s="425">
        <v>35000</v>
      </c>
      <c r="L3" s="425"/>
      <c r="M3" s="425">
        <v>35000</v>
      </c>
      <c r="N3" s="425"/>
    </row>
  </sheetData>
  <mergeCells count="1">
    <mergeCell ref="F1:H1"/>
  </mergeCells>
  <hyperlinks>
    <hyperlink ref="A1" location="Бюджет" display="Бюджет" xr:uid="{00000000-0004-0000-2A00-000000000000}"/>
    <hyperlink ref="F1:H1" location="Бюджет" display="2-0029" xr:uid="{00000000-0004-0000-2A00-000001000000}"/>
  </hyperlinks>
  <pageMargins left="0.7" right="0.7" top="0.75" bottom="0.75" header="0.3" footer="0.3"/>
  <pageSetup paperSize="9" orientation="portrait" horizontalDpi="0" verticalDpi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N11"/>
  <sheetViews>
    <sheetView workbookViewId="0"/>
  </sheetViews>
  <sheetFormatPr baseColWidth="10" defaultColWidth="8.83203125" defaultRowHeight="15"/>
  <cols>
    <col min="1" max="1" width="54.5" bestFit="1" customWidth="1"/>
    <col min="2" max="2" width="9.83203125" bestFit="1" customWidth="1"/>
    <col min="5" max="6" width="8.83203125" customWidth="1"/>
    <col min="7" max="7" width="9.83203125" bestFit="1" customWidth="1"/>
    <col min="8" max="12" width="8.83203125" customWidth="1"/>
  </cols>
  <sheetData>
    <row r="1" spans="1:14">
      <c r="A1" s="223" t="s">
        <v>206</v>
      </c>
      <c r="F1" s="689" t="s">
        <v>170</v>
      </c>
      <c r="G1" s="689"/>
      <c r="H1" s="689"/>
    </row>
    <row r="2" spans="1:14" s="10" customFormat="1" ht="13">
      <c r="B2" s="87" t="s">
        <v>122</v>
      </c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6">
      <c r="A3" s="197" t="s">
        <v>89</v>
      </c>
      <c r="B3" s="203">
        <f>SUM(C3:N3)</f>
        <v>130000</v>
      </c>
      <c r="C3" s="142">
        <f>SUM(C4:C11)</f>
        <v>0</v>
      </c>
      <c r="D3" s="142">
        <f t="shared" ref="D3:N3" si="0">SUM(D4:D11)</f>
        <v>0</v>
      </c>
      <c r="E3" s="142">
        <f t="shared" si="0"/>
        <v>10000</v>
      </c>
      <c r="F3" s="142">
        <f t="shared" si="0"/>
        <v>20000</v>
      </c>
      <c r="G3" s="142">
        <f t="shared" si="0"/>
        <v>30000</v>
      </c>
      <c r="H3" s="142">
        <f t="shared" si="0"/>
        <v>20000</v>
      </c>
      <c r="I3" s="142">
        <f t="shared" si="0"/>
        <v>20000</v>
      </c>
      <c r="J3" s="142">
        <f t="shared" si="0"/>
        <v>10000</v>
      </c>
      <c r="K3" s="142">
        <f t="shared" si="0"/>
        <v>10000</v>
      </c>
      <c r="L3" s="142">
        <f t="shared" si="0"/>
        <v>10000</v>
      </c>
      <c r="M3" s="142">
        <f t="shared" si="0"/>
        <v>0</v>
      </c>
      <c r="N3" s="142">
        <f t="shared" si="0"/>
        <v>0</v>
      </c>
    </row>
    <row r="4" spans="1:14">
      <c r="A4" s="67" t="s">
        <v>203</v>
      </c>
      <c r="B4" s="67"/>
      <c r="C4" s="67"/>
      <c r="D4" s="67"/>
      <c r="E4" s="67">
        <v>10000</v>
      </c>
      <c r="F4" s="67"/>
      <c r="G4" s="67"/>
      <c r="H4" s="67"/>
      <c r="I4" s="67"/>
      <c r="J4" s="67"/>
      <c r="K4" s="67"/>
      <c r="L4" s="67"/>
      <c r="M4" s="67"/>
      <c r="N4" s="67"/>
    </row>
    <row r="5" spans="1:14">
      <c r="A5" s="67" t="s">
        <v>204</v>
      </c>
      <c r="B5" s="67"/>
      <c r="C5" s="67"/>
      <c r="D5" s="67"/>
      <c r="E5" s="67"/>
      <c r="F5" s="67">
        <v>20000</v>
      </c>
      <c r="G5" s="67"/>
      <c r="H5" s="67"/>
      <c r="I5" s="67"/>
      <c r="J5" s="67"/>
      <c r="K5" s="67"/>
      <c r="L5" s="67"/>
      <c r="M5" s="67"/>
      <c r="N5" s="67"/>
    </row>
    <row r="6" spans="1:14">
      <c r="A6" s="67" t="s">
        <v>205</v>
      </c>
      <c r="B6" s="67"/>
      <c r="C6" s="67"/>
      <c r="D6" s="67"/>
      <c r="E6" s="67"/>
      <c r="F6" s="67"/>
      <c r="G6" s="67">
        <v>30000</v>
      </c>
      <c r="H6" s="67"/>
      <c r="I6" s="67"/>
      <c r="J6" s="67"/>
      <c r="K6" s="67"/>
      <c r="L6" s="67"/>
      <c r="M6" s="67"/>
      <c r="N6" s="67"/>
    </row>
    <row r="7" spans="1:14">
      <c r="A7" s="67" t="s">
        <v>204</v>
      </c>
      <c r="B7" s="67"/>
      <c r="C7" s="67"/>
      <c r="D7" s="67"/>
      <c r="E7" s="67"/>
      <c r="F7" s="67"/>
      <c r="G7" s="67"/>
      <c r="H7" s="67">
        <v>20000</v>
      </c>
      <c r="I7" s="67"/>
      <c r="J7" s="67"/>
      <c r="K7" s="67"/>
      <c r="L7" s="67"/>
      <c r="M7" s="67"/>
      <c r="N7" s="67"/>
    </row>
    <row r="8" spans="1:14">
      <c r="A8" s="67" t="s">
        <v>204</v>
      </c>
      <c r="B8" s="67"/>
      <c r="C8" s="67"/>
      <c r="D8" s="67"/>
      <c r="E8" s="67"/>
      <c r="F8" s="67"/>
      <c r="G8" s="67"/>
      <c r="H8" s="67"/>
      <c r="I8" s="67">
        <v>20000</v>
      </c>
      <c r="J8" s="67"/>
      <c r="K8" s="67"/>
      <c r="L8" s="67"/>
      <c r="M8" s="67"/>
      <c r="N8" s="67"/>
    </row>
    <row r="9" spans="1:14">
      <c r="A9" s="67" t="s">
        <v>204</v>
      </c>
      <c r="B9" s="67"/>
      <c r="C9" s="67"/>
      <c r="D9" s="67"/>
      <c r="E9" s="67"/>
      <c r="F9" s="67"/>
      <c r="G9" s="67"/>
      <c r="H9" s="67"/>
      <c r="I9" s="67"/>
      <c r="J9" s="67">
        <v>10000</v>
      </c>
      <c r="K9" s="67"/>
      <c r="L9" s="67"/>
      <c r="M9" s="67"/>
      <c r="N9" s="67"/>
    </row>
    <row r="10" spans="1:14">
      <c r="A10" s="67" t="s">
        <v>204</v>
      </c>
      <c r="B10" s="67"/>
      <c r="C10" s="67"/>
      <c r="D10" s="67"/>
      <c r="E10" s="67"/>
      <c r="F10" s="67"/>
      <c r="G10" s="67"/>
      <c r="H10" s="67"/>
      <c r="I10" s="67"/>
      <c r="J10" s="67"/>
      <c r="K10" s="67">
        <v>10000</v>
      </c>
      <c r="L10" s="67"/>
      <c r="M10" s="67"/>
      <c r="N10" s="67"/>
    </row>
    <row r="11" spans="1:14">
      <c r="A11" s="67" t="s">
        <v>204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>
        <v>10000</v>
      </c>
      <c r="M11" s="67"/>
      <c r="N11" s="67"/>
    </row>
  </sheetData>
  <mergeCells count="1">
    <mergeCell ref="F1:H1"/>
  </mergeCells>
  <hyperlinks>
    <hyperlink ref="A1" location="Бюджет" display="Бюджет" xr:uid="{00000000-0004-0000-2B00-000000000000}"/>
    <hyperlink ref="F1:H1" location="Бюджет" display="2-0029" xr:uid="{00000000-0004-0000-2B00-000001000000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N4"/>
  <sheetViews>
    <sheetView workbookViewId="0"/>
  </sheetViews>
  <sheetFormatPr baseColWidth="10" defaultColWidth="8.83203125" defaultRowHeight="15"/>
  <cols>
    <col min="1" max="1" width="70.33203125" customWidth="1"/>
    <col min="2" max="2" width="15.5" customWidth="1"/>
    <col min="4" max="4" width="11.33203125" bestFit="1" customWidth="1"/>
    <col min="5" max="5" width="9.83203125" bestFit="1" customWidth="1"/>
    <col min="6" max="6" width="13.1640625" customWidth="1"/>
    <col min="7" max="7" width="11.33203125" bestFit="1" customWidth="1"/>
    <col min="10" max="10" width="11.33203125" bestFit="1" customWidth="1"/>
    <col min="11" max="11" width="12.1640625" customWidth="1"/>
  </cols>
  <sheetData>
    <row r="1" spans="1:14">
      <c r="A1" s="223" t="s">
        <v>206</v>
      </c>
      <c r="F1" s="689" t="s">
        <v>171</v>
      </c>
      <c r="G1" s="689"/>
      <c r="H1" s="689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0" customFormat="1">
      <c r="A3" s="125" t="s">
        <v>711</v>
      </c>
      <c r="B3" s="158">
        <f>SUM(C3:N3)</f>
        <v>1800000</v>
      </c>
      <c r="C3" s="414"/>
      <c r="D3" s="413">
        <v>1800000</v>
      </c>
      <c r="E3" s="413">
        <v>0</v>
      </c>
      <c r="F3" s="413"/>
      <c r="G3" s="413">
        <v>0</v>
      </c>
      <c r="H3" s="413"/>
      <c r="I3" s="397"/>
      <c r="J3" s="413"/>
      <c r="K3" s="413"/>
      <c r="L3" s="397"/>
      <c r="M3" s="413"/>
      <c r="N3" s="413"/>
    </row>
    <row r="4" spans="1:14" s="10" customFormat="1">
      <c r="A4" s="266"/>
      <c r="B4" s="90"/>
      <c r="C4" s="397"/>
      <c r="D4" s="413"/>
      <c r="E4" s="413">
        <v>0</v>
      </c>
      <c r="F4" s="413"/>
      <c r="G4" s="413"/>
      <c r="H4" s="413"/>
      <c r="I4" s="397"/>
      <c r="J4" s="413"/>
      <c r="K4" s="413"/>
      <c r="L4" s="397"/>
      <c r="M4" s="413"/>
      <c r="N4" s="413"/>
    </row>
  </sheetData>
  <mergeCells count="1">
    <mergeCell ref="F1:H1"/>
  </mergeCells>
  <hyperlinks>
    <hyperlink ref="A1" location="Бюджет" display="Бюджет" xr:uid="{00000000-0004-0000-2C00-000000000000}"/>
    <hyperlink ref="F1:H1" location="Бюджет" display="2-0041" xr:uid="{00000000-0004-0000-2C00-000001000000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N3"/>
  <sheetViews>
    <sheetView workbookViewId="0"/>
  </sheetViews>
  <sheetFormatPr baseColWidth="10" defaultColWidth="8.83203125" defaultRowHeight="15"/>
  <cols>
    <col min="1" max="1" width="35.5" bestFit="1" customWidth="1"/>
    <col min="2" max="2" width="11.33203125" bestFit="1" customWidth="1"/>
    <col min="3" max="14" width="9.5" bestFit="1" customWidth="1"/>
  </cols>
  <sheetData>
    <row r="1" spans="1:14">
      <c r="A1" s="223" t="s">
        <v>206</v>
      </c>
      <c r="F1" s="689" t="s">
        <v>172</v>
      </c>
      <c r="G1" s="689"/>
      <c r="H1" s="689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6">
      <c r="A3" s="199" t="s">
        <v>91</v>
      </c>
      <c r="B3" s="198">
        <f>SUM(C3:N3)</f>
        <v>3840000</v>
      </c>
      <c r="C3" s="426">
        <v>320000</v>
      </c>
      <c r="D3" s="426">
        <v>320000</v>
      </c>
      <c r="E3" s="426">
        <v>320000</v>
      </c>
      <c r="F3" s="426">
        <v>320000</v>
      </c>
      <c r="G3" s="426">
        <v>320000</v>
      </c>
      <c r="H3" s="426">
        <v>320000</v>
      </c>
      <c r="I3" s="426">
        <v>320000</v>
      </c>
      <c r="J3" s="426">
        <v>320000</v>
      </c>
      <c r="K3" s="426">
        <v>320000</v>
      </c>
      <c r="L3" s="426">
        <v>320000</v>
      </c>
      <c r="M3" s="426">
        <v>320000</v>
      </c>
      <c r="N3" s="426">
        <v>320000</v>
      </c>
    </row>
  </sheetData>
  <mergeCells count="1">
    <mergeCell ref="F1:H1"/>
  </mergeCells>
  <hyperlinks>
    <hyperlink ref="A1" location="Бюджет" display="Бюджет" xr:uid="{00000000-0004-0000-2D00-000000000000}"/>
    <hyperlink ref="F1:H1" location="Бюджет" display="2-0042" xr:uid="{00000000-0004-0000-2D00-000001000000}"/>
  </hyperlinks>
  <pageMargins left="0.7" right="0.7" top="0.75" bottom="0.75" header="0.3" footer="0.3"/>
  <pageSetup paperSize="9" orientation="portrait" horizontalDpi="0" verticalDpi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N5"/>
  <sheetViews>
    <sheetView workbookViewId="0"/>
  </sheetViews>
  <sheetFormatPr baseColWidth="10" defaultColWidth="8.83203125" defaultRowHeight="15"/>
  <cols>
    <col min="1" max="1" width="32.6640625" bestFit="1" customWidth="1"/>
    <col min="2" max="2" width="12.33203125" customWidth="1"/>
    <col min="3" max="3" width="12.5" customWidth="1"/>
    <col min="4" max="4" width="12.33203125" customWidth="1"/>
    <col min="5" max="5" width="12" customWidth="1"/>
    <col min="6" max="6" width="11.5" customWidth="1"/>
    <col min="7" max="7" width="10.83203125" customWidth="1"/>
    <col min="8" max="8" width="10.6640625" customWidth="1"/>
    <col min="9" max="10" width="11.83203125" customWidth="1"/>
    <col min="11" max="11" width="10.6640625" customWidth="1"/>
    <col min="12" max="12" width="11" customWidth="1"/>
    <col min="13" max="13" width="12.1640625" customWidth="1"/>
    <col min="14" max="14" width="10.83203125" customWidth="1"/>
  </cols>
  <sheetData>
    <row r="1" spans="1:14">
      <c r="A1" s="223" t="s">
        <v>206</v>
      </c>
      <c r="F1" s="689" t="s">
        <v>173</v>
      </c>
      <c r="G1" s="689"/>
      <c r="H1" s="689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0" customFormat="1" ht="16">
      <c r="A3" s="452" t="s">
        <v>92</v>
      </c>
      <c r="B3" s="90">
        <f>SUM(C3:N3)</f>
        <v>2964000</v>
      </c>
      <c r="C3" s="415">
        <f>SUM(C4:C5)</f>
        <v>100000</v>
      </c>
      <c r="D3" s="415">
        <f t="shared" ref="D3:N3" si="0">SUM(D4:D5)</f>
        <v>100000</v>
      </c>
      <c r="E3" s="415">
        <f t="shared" si="0"/>
        <v>120000</v>
      </c>
      <c r="F3" s="415">
        <f t="shared" si="0"/>
        <v>324000</v>
      </c>
      <c r="G3" s="415">
        <f t="shared" si="0"/>
        <v>324000</v>
      </c>
      <c r="H3" s="415">
        <f t="shared" si="0"/>
        <v>324000</v>
      </c>
      <c r="I3" s="415">
        <f t="shared" si="0"/>
        <v>324000</v>
      </c>
      <c r="J3" s="415">
        <f t="shared" si="0"/>
        <v>324000</v>
      </c>
      <c r="K3" s="415">
        <f t="shared" si="0"/>
        <v>324000</v>
      </c>
      <c r="L3" s="415">
        <f t="shared" si="0"/>
        <v>300000</v>
      </c>
      <c r="M3" s="415">
        <f t="shared" si="0"/>
        <v>300000</v>
      </c>
      <c r="N3" s="415">
        <f t="shared" si="0"/>
        <v>100000</v>
      </c>
    </row>
    <row r="4" spans="1:14" ht="16">
      <c r="A4" s="452" t="s">
        <v>732</v>
      </c>
      <c r="B4" s="67"/>
      <c r="C4" s="541"/>
      <c r="D4" s="266"/>
      <c r="E4" s="91">
        <v>120000</v>
      </c>
      <c r="F4" s="91">
        <v>324000</v>
      </c>
      <c r="G4" s="91">
        <v>324000</v>
      </c>
      <c r="H4" s="91">
        <v>324000</v>
      </c>
      <c r="I4" s="91">
        <v>324000</v>
      </c>
      <c r="J4" s="91">
        <v>324000</v>
      </c>
      <c r="K4" s="91">
        <v>324000</v>
      </c>
      <c r="L4" s="91">
        <v>300000</v>
      </c>
      <c r="M4" s="91">
        <v>300000</v>
      </c>
      <c r="N4" s="266"/>
    </row>
    <row r="5" spans="1:14">
      <c r="A5" s="67" t="s">
        <v>730</v>
      </c>
      <c r="B5" s="67"/>
      <c r="C5" s="139">
        <v>100000</v>
      </c>
      <c r="D5" s="91">
        <v>100000</v>
      </c>
      <c r="E5" s="266"/>
      <c r="F5" s="266"/>
      <c r="G5" s="266"/>
      <c r="H5" s="266"/>
      <c r="I5" s="266"/>
      <c r="J5" s="266"/>
      <c r="K5" s="266"/>
      <c r="L5" s="266"/>
      <c r="M5" s="266"/>
      <c r="N5" s="91">
        <v>100000</v>
      </c>
    </row>
  </sheetData>
  <mergeCells count="1">
    <mergeCell ref="F1:H1"/>
  </mergeCells>
  <hyperlinks>
    <hyperlink ref="A1" location="Бюджет" display="Бюджет" xr:uid="{00000000-0004-0000-2E00-000000000000}"/>
    <hyperlink ref="F1:H1" location="Бюджет" display="2-0029" xr:uid="{00000000-0004-0000-2E00-000001000000}"/>
  </hyperlinks>
  <pageMargins left="0.7" right="0.7" top="0.75" bottom="0.75" header="0.3" footer="0.3"/>
  <pageSetup paperSize="9" orientation="portrait" horizontalDpi="0" verticalDpi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N3"/>
  <sheetViews>
    <sheetView workbookViewId="0"/>
  </sheetViews>
  <sheetFormatPr baseColWidth="10" defaultColWidth="8.83203125" defaultRowHeight="15"/>
  <cols>
    <col min="1" max="1" width="26.5" bestFit="1" customWidth="1"/>
    <col min="2" max="2" width="12.5" customWidth="1"/>
    <col min="3" max="3" width="10.6640625" customWidth="1"/>
    <col min="4" max="4" width="11.1640625" customWidth="1"/>
    <col min="5" max="5" width="12.1640625" customWidth="1"/>
    <col min="6" max="6" width="10.5" customWidth="1"/>
    <col min="7" max="7" width="10.83203125" customWidth="1"/>
    <col min="8" max="8" width="10.6640625" customWidth="1"/>
    <col min="9" max="9" width="9.83203125" customWidth="1"/>
    <col min="10" max="10" width="10.33203125" customWidth="1"/>
    <col min="11" max="11" width="11.1640625" customWidth="1"/>
    <col min="12" max="12" width="11.5" customWidth="1"/>
    <col min="13" max="13" width="10.6640625" customWidth="1"/>
    <col min="14" max="14" width="11.1640625" customWidth="1"/>
  </cols>
  <sheetData>
    <row r="1" spans="1:14">
      <c r="A1" s="223" t="s">
        <v>206</v>
      </c>
      <c r="F1" s="689" t="s">
        <v>174</v>
      </c>
      <c r="G1" s="689"/>
      <c r="H1" s="689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6">
      <c r="A3" s="199" t="s">
        <v>93</v>
      </c>
      <c r="B3" s="198">
        <f>SUM(C3:N3)</f>
        <v>1050000</v>
      </c>
      <c r="C3" s="427">
        <v>105000</v>
      </c>
      <c r="D3" s="427">
        <v>105000</v>
      </c>
      <c r="E3" s="427"/>
      <c r="F3" s="427">
        <v>105000</v>
      </c>
      <c r="G3" s="427">
        <v>105000</v>
      </c>
      <c r="H3" s="427">
        <v>105000</v>
      </c>
      <c r="I3" s="427">
        <v>105000</v>
      </c>
      <c r="J3" s="427">
        <v>105000</v>
      </c>
      <c r="K3" s="427"/>
      <c r="L3" s="427">
        <v>105000</v>
      </c>
      <c r="M3" s="427">
        <v>105000</v>
      </c>
      <c r="N3" s="427">
        <v>105000</v>
      </c>
    </row>
  </sheetData>
  <mergeCells count="1">
    <mergeCell ref="F1:H1"/>
  </mergeCells>
  <hyperlinks>
    <hyperlink ref="A1" location="Бюджет" display="Бюджет" xr:uid="{00000000-0004-0000-2F00-000000000000}"/>
    <hyperlink ref="F1:H1" location="Бюджет" display="2-0029" xr:uid="{00000000-0004-0000-2F00-000001000000}"/>
  </hyperlinks>
  <pageMargins left="0.7" right="0.7" top="0.75" bottom="0.75" header="0.3" footer="0.3"/>
  <pageSetup paperSize="9" orientation="portrait" horizontalDpi="0" verticalDpi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N4"/>
  <sheetViews>
    <sheetView workbookViewId="0">
      <selection activeCell="F1" sqref="F1:H1"/>
    </sheetView>
  </sheetViews>
  <sheetFormatPr baseColWidth="10" defaultColWidth="8.83203125" defaultRowHeight="15"/>
  <cols>
    <col min="1" max="1" width="13" customWidth="1"/>
    <col min="2" max="2" width="8.83203125" customWidth="1"/>
    <col min="3" max="14" width="7.5" customWidth="1"/>
  </cols>
  <sheetData>
    <row r="1" spans="1:14">
      <c r="A1" s="223" t="s">
        <v>206</v>
      </c>
      <c r="F1" s="689" t="s">
        <v>175</v>
      </c>
      <c r="G1" s="689"/>
      <c r="H1" s="689"/>
    </row>
    <row r="2" spans="1:14">
      <c r="A2" s="223"/>
      <c r="F2" s="273"/>
      <c r="G2" s="273"/>
      <c r="H2" s="273"/>
    </row>
    <row r="3" spans="1:14" s="10" customFormat="1" ht="13">
      <c r="B3" s="87" t="s">
        <v>122</v>
      </c>
      <c r="C3" s="87" t="s">
        <v>63</v>
      </c>
      <c r="D3" s="87" t="s">
        <v>64</v>
      </c>
      <c r="E3" s="87" t="s">
        <v>65</v>
      </c>
      <c r="F3" s="87" t="s">
        <v>66</v>
      </c>
      <c r="G3" s="87" t="s">
        <v>60</v>
      </c>
      <c r="H3" s="87" t="s">
        <v>67</v>
      </c>
      <c r="I3" s="87" t="s">
        <v>68</v>
      </c>
      <c r="J3" s="87" t="s">
        <v>69</v>
      </c>
      <c r="K3" s="87" t="s">
        <v>70</v>
      </c>
      <c r="L3" s="87" t="s">
        <v>71</v>
      </c>
      <c r="M3" s="87" t="s">
        <v>72</v>
      </c>
      <c r="N3" s="87" t="s">
        <v>73</v>
      </c>
    </row>
    <row r="4" spans="1:14" s="189" customFormat="1" ht="16">
      <c r="A4" s="200" t="s">
        <v>94</v>
      </c>
      <c r="B4" s="201">
        <f>SUM(C4:N4)</f>
        <v>50400</v>
      </c>
      <c r="C4" s="82">
        <v>4200</v>
      </c>
      <c r="D4" s="82">
        <v>4200</v>
      </c>
      <c r="E4" s="82">
        <v>4200</v>
      </c>
      <c r="F4" s="82">
        <v>4200</v>
      </c>
      <c r="G4" s="82">
        <v>4200</v>
      </c>
      <c r="H4" s="82">
        <v>4200</v>
      </c>
      <c r="I4" s="82">
        <v>4200</v>
      </c>
      <c r="J4" s="82">
        <v>4200</v>
      </c>
      <c r="K4" s="82">
        <v>4200</v>
      </c>
      <c r="L4" s="82">
        <v>4200</v>
      </c>
      <c r="M4" s="82">
        <v>4200</v>
      </c>
      <c r="N4" s="82">
        <v>4200</v>
      </c>
    </row>
  </sheetData>
  <mergeCells count="1">
    <mergeCell ref="F1:H1"/>
  </mergeCells>
  <hyperlinks>
    <hyperlink ref="A1" location="Бюджет" display="Бюджет" xr:uid="{00000000-0004-0000-3000-000000000000}"/>
    <hyperlink ref="F1:H1" location="Бюджет" display="2-0029" xr:uid="{00000000-0004-0000-3000-000001000000}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N8"/>
  <sheetViews>
    <sheetView workbookViewId="0"/>
  </sheetViews>
  <sheetFormatPr baseColWidth="10" defaultColWidth="8.83203125" defaultRowHeight="15"/>
  <cols>
    <col min="1" max="1" width="62.5" customWidth="1"/>
    <col min="2" max="2" width="11.33203125" bestFit="1" customWidth="1"/>
    <col min="3" max="3" width="11.5" customWidth="1"/>
    <col min="4" max="4" width="11.33203125" bestFit="1" customWidth="1"/>
    <col min="5" max="5" width="11" customWidth="1"/>
    <col min="6" max="6" width="12.1640625" customWidth="1"/>
    <col min="7" max="7" width="12" customWidth="1"/>
    <col min="8" max="9" width="9.83203125" bestFit="1" customWidth="1"/>
    <col min="10" max="10" width="10.83203125" customWidth="1"/>
    <col min="11" max="11" width="10.5" customWidth="1"/>
    <col min="12" max="14" width="8.83203125" customWidth="1"/>
  </cols>
  <sheetData>
    <row r="1" spans="1:14">
      <c r="A1" s="223" t="s">
        <v>206</v>
      </c>
      <c r="F1" s="689" t="s">
        <v>176</v>
      </c>
      <c r="G1" s="689"/>
      <c r="H1" s="689"/>
    </row>
    <row r="2" spans="1:14" s="10" customFormat="1" ht="14" thickBot="1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6">
      <c r="A3" s="280" t="s">
        <v>95</v>
      </c>
      <c r="B3" s="281">
        <f>SUM(C3:N3)</f>
        <v>2360000</v>
      </c>
      <c r="C3" s="282">
        <f t="shared" ref="C3:N3" si="0">SUM(C4:C8)</f>
        <v>2030000</v>
      </c>
      <c r="D3" s="282">
        <f t="shared" si="0"/>
        <v>30000</v>
      </c>
      <c r="E3" s="282">
        <f t="shared" si="0"/>
        <v>30000</v>
      </c>
      <c r="F3" s="282">
        <f t="shared" si="0"/>
        <v>30000</v>
      </c>
      <c r="G3" s="282">
        <f t="shared" si="0"/>
        <v>30000</v>
      </c>
      <c r="H3" s="282">
        <f t="shared" si="0"/>
        <v>30000</v>
      </c>
      <c r="I3" s="282">
        <f t="shared" si="0"/>
        <v>30000</v>
      </c>
      <c r="J3" s="282">
        <f t="shared" si="0"/>
        <v>30000</v>
      </c>
      <c r="K3" s="282">
        <f t="shared" si="0"/>
        <v>30000</v>
      </c>
      <c r="L3" s="282">
        <f t="shared" si="0"/>
        <v>30000</v>
      </c>
      <c r="M3" s="282">
        <f t="shared" si="0"/>
        <v>30000</v>
      </c>
      <c r="N3" s="282">
        <f t="shared" si="0"/>
        <v>30000</v>
      </c>
    </row>
    <row r="4" spans="1:14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4">
      <c r="A5" s="67" t="s">
        <v>224</v>
      </c>
      <c r="B5" s="67"/>
      <c r="C5" s="67">
        <v>2000000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</row>
    <row r="6" spans="1:14">
      <c r="A6" s="67" t="s">
        <v>724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</row>
    <row r="7" spans="1:14">
      <c r="A7" s="67" t="s">
        <v>225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</row>
    <row r="8" spans="1:14">
      <c r="A8" s="67" t="s">
        <v>313</v>
      </c>
      <c r="B8" s="67"/>
      <c r="C8" s="67">
        <v>30000</v>
      </c>
      <c r="D8" s="67">
        <v>30000</v>
      </c>
      <c r="E8" s="67">
        <v>30000</v>
      </c>
      <c r="F8" s="67">
        <v>30000</v>
      </c>
      <c r="G8" s="67">
        <v>30000</v>
      </c>
      <c r="H8" s="67">
        <v>30000</v>
      </c>
      <c r="I8" s="67">
        <v>30000</v>
      </c>
      <c r="J8" s="67">
        <v>30000</v>
      </c>
      <c r="K8" s="67">
        <v>30000</v>
      </c>
      <c r="L8" s="67">
        <v>30000</v>
      </c>
      <c r="M8" s="67">
        <v>30000</v>
      </c>
      <c r="N8" s="67">
        <v>30000</v>
      </c>
    </row>
  </sheetData>
  <mergeCells count="1">
    <mergeCell ref="F1:H1"/>
  </mergeCells>
  <hyperlinks>
    <hyperlink ref="A1" location="Бюджет" display="Бюджет" xr:uid="{00000000-0004-0000-3100-000000000000}"/>
    <hyperlink ref="F1:H1" location="Бюджет" display="2-0046" xr:uid="{00000000-0004-0000-3100-000001000000}"/>
  </hyperlinks>
  <pageMargins left="0.7" right="0.7" top="0.75" bottom="0.75" header="0.3" footer="0.3"/>
  <pageSetup paperSize="9" orientation="portrait" horizontalDpi="0" verticalDpi="0"/>
  <legacy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N4"/>
  <sheetViews>
    <sheetView workbookViewId="0"/>
  </sheetViews>
  <sheetFormatPr baseColWidth="10" defaultColWidth="8.83203125" defaultRowHeight="15"/>
  <cols>
    <col min="1" max="1" width="39.33203125" customWidth="1"/>
    <col min="2" max="2" width="9.83203125" bestFit="1" customWidth="1"/>
    <col min="10" max="10" width="9.83203125" bestFit="1" customWidth="1"/>
  </cols>
  <sheetData>
    <row r="1" spans="1:14">
      <c r="A1" s="223" t="s">
        <v>206</v>
      </c>
      <c r="F1" s="689" t="s">
        <v>177</v>
      </c>
      <c r="G1" s="689"/>
      <c r="H1" s="689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32">
      <c r="A3" s="202" t="s">
        <v>307</v>
      </c>
      <c r="B3" s="203">
        <f>SUM(C3:N3)</f>
        <v>0</v>
      </c>
      <c r="C3" s="204"/>
      <c r="D3" s="205"/>
      <c r="E3" s="205"/>
      <c r="F3" s="205"/>
      <c r="G3" s="205"/>
      <c r="H3" s="205"/>
      <c r="I3" s="206"/>
      <c r="J3" s="207">
        <v>0</v>
      </c>
      <c r="K3" s="205"/>
      <c r="L3" s="206"/>
      <c r="M3" s="205"/>
      <c r="N3" s="205"/>
    </row>
    <row r="4" spans="1:14">
      <c r="A4" t="s">
        <v>258</v>
      </c>
    </row>
  </sheetData>
  <mergeCells count="1">
    <mergeCell ref="F1:H1"/>
  </mergeCells>
  <hyperlinks>
    <hyperlink ref="A1" location="Бюджет" display="Бюджет" xr:uid="{00000000-0004-0000-3200-000000000000}"/>
    <hyperlink ref="F1:H1" location="Бюджет" display="2-0029" xr:uid="{00000000-0004-0000-3200-000001000000}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N5"/>
  <sheetViews>
    <sheetView workbookViewId="0"/>
  </sheetViews>
  <sheetFormatPr baseColWidth="10" defaultColWidth="8.83203125" defaultRowHeight="15"/>
  <cols>
    <col min="1" max="1" width="29.1640625" customWidth="1"/>
    <col min="2" max="2" width="12.33203125" bestFit="1" customWidth="1"/>
    <col min="3" max="3" width="13.33203125" customWidth="1"/>
    <col min="4" max="4" width="14.1640625" customWidth="1"/>
    <col min="5" max="5" width="12.1640625" customWidth="1"/>
    <col min="6" max="6" width="11.33203125" bestFit="1" customWidth="1"/>
    <col min="7" max="7" width="11.6640625" customWidth="1"/>
    <col min="8" max="8" width="11.5" customWidth="1"/>
    <col min="9" max="9" width="11.83203125" customWidth="1"/>
    <col min="10" max="10" width="11.33203125" customWidth="1"/>
    <col min="11" max="11" width="12.5" customWidth="1"/>
    <col min="12" max="12" width="11.1640625" customWidth="1"/>
    <col min="13" max="14" width="12.1640625" customWidth="1"/>
    <col min="15" max="15" width="10.33203125" bestFit="1" customWidth="1"/>
  </cols>
  <sheetData>
    <row r="1" spans="1:14">
      <c r="A1" s="223" t="s">
        <v>206</v>
      </c>
      <c r="F1" s="689" t="s">
        <v>178</v>
      </c>
      <c r="G1" s="689"/>
      <c r="H1" s="689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6">
      <c r="A3" s="208" t="s">
        <v>98</v>
      </c>
      <c r="B3" s="198">
        <f>SUM(C3:N3)</f>
        <v>22800000</v>
      </c>
      <c r="C3" s="428">
        <f>SUM(C4:C5)</f>
        <v>1900000</v>
      </c>
      <c r="D3" s="428">
        <f>SUM(D4:D5)</f>
        <v>1900000</v>
      </c>
      <c r="E3" s="428">
        <f>SUM(E4:E5)</f>
        <v>1900000</v>
      </c>
      <c r="F3" s="428">
        <f t="shared" ref="F3:K3" si="0">SUM(F4:F5)</f>
        <v>1900000</v>
      </c>
      <c r="G3" s="428">
        <f t="shared" si="0"/>
        <v>1900000</v>
      </c>
      <c r="H3" s="428">
        <f t="shared" si="0"/>
        <v>1900000</v>
      </c>
      <c r="I3" s="428">
        <f t="shared" si="0"/>
        <v>1900000</v>
      </c>
      <c r="J3" s="428">
        <f t="shared" si="0"/>
        <v>1900000</v>
      </c>
      <c r="K3" s="428">
        <f t="shared" si="0"/>
        <v>1900000</v>
      </c>
      <c r="L3" s="428">
        <f>SUM(L4:L5)</f>
        <v>1900000</v>
      </c>
      <c r="M3" s="428">
        <f>SUM(M4:M5)</f>
        <v>1900000</v>
      </c>
      <c r="N3" s="428">
        <f>SUM(N4:N5)</f>
        <v>1900000</v>
      </c>
    </row>
    <row r="4" spans="1:14" ht="32.25" customHeight="1">
      <c r="A4" s="208" t="s">
        <v>715</v>
      </c>
      <c r="B4" s="67"/>
      <c r="C4" s="540">
        <v>1900000</v>
      </c>
      <c r="D4" s="540">
        <v>1900000</v>
      </c>
      <c r="E4" s="540">
        <v>1900000</v>
      </c>
      <c r="F4" s="540">
        <v>1900000</v>
      </c>
      <c r="G4" s="540">
        <v>1900000</v>
      </c>
      <c r="H4" s="540">
        <v>1900000</v>
      </c>
      <c r="I4" s="540">
        <v>1900000</v>
      </c>
      <c r="J4" s="540">
        <v>1900000</v>
      </c>
      <c r="K4" s="540">
        <v>1900000</v>
      </c>
      <c r="L4" s="540">
        <v>1900000</v>
      </c>
      <c r="M4" s="540">
        <v>1900000</v>
      </c>
      <c r="N4" s="540">
        <v>1900000</v>
      </c>
    </row>
    <row r="5" spans="1:14" ht="30.75" customHeight="1">
      <c r="A5" s="386"/>
      <c r="B5" s="67"/>
      <c r="C5" s="266"/>
      <c r="D5" s="266"/>
      <c r="E5" s="266"/>
      <c r="F5" s="266"/>
      <c r="G5" s="266"/>
      <c r="H5" s="266"/>
      <c r="I5" s="266"/>
      <c r="J5" s="266"/>
      <c r="K5" s="266"/>
      <c r="L5" s="266"/>
      <c r="M5" s="266"/>
      <c r="N5" s="266"/>
    </row>
  </sheetData>
  <mergeCells count="1">
    <mergeCell ref="F1:H1"/>
  </mergeCells>
  <hyperlinks>
    <hyperlink ref="A1" location="Бюджет" display="Бюджет" xr:uid="{00000000-0004-0000-3300-000000000000}"/>
    <hyperlink ref="F1:H1" location="Бюджет" display="2-0029" xr:uid="{00000000-0004-0000-3300-000001000000}"/>
  </hyperlinks>
  <pageMargins left="0.7" right="0.7" top="0.75" bottom="0.75" header="0.3" footer="0.3"/>
  <pageSetup paperSize="9" orientation="portrait" horizontalDpi="0" verticalDpi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N5"/>
  <sheetViews>
    <sheetView workbookViewId="0"/>
  </sheetViews>
  <sheetFormatPr baseColWidth="10" defaultColWidth="8.83203125" defaultRowHeight="15"/>
  <cols>
    <col min="1" max="1" width="49" customWidth="1"/>
    <col min="2" max="2" width="14.5" customWidth="1"/>
    <col min="6" max="6" width="12.1640625" customWidth="1"/>
    <col min="7" max="9" width="10.1640625" bestFit="1" customWidth="1"/>
    <col min="11" max="12" width="9.83203125" bestFit="1" customWidth="1"/>
  </cols>
  <sheetData>
    <row r="1" spans="1:14">
      <c r="A1" s="223" t="s">
        <v>206</v>
      </c>
      <c r="F1" s="689" t="s">
        <v>179</v>
      </c>
      <c r="G1" s="689"/>
      <c r="H1" s="689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0" customFormat="1" ht="13">
      <c r="A3" s="69" t="s">
        <v>308</v>
      </c>
      <c r="B3" s="459">
        <f>SUM(C3:N3)</f>
        <v>90000</v>
      </c>
      <c r="C3" s="460">
        <f>SUM(C4:C5)</f>
        <v>15000</v>
      </c>
      <c r="D3" s="460">
        <f t="shared" ref="D3:N3" si="0">SUM(D4:D5)</f>
        <v>0</v>
      </c>
      <c r="E3" s="460">
        <f t="shared" si="0"/>
        <v>15000</v>
      </c>
      <c r="F3" s="460">
        <f t="shared" si="0"/>
        <v>0</v>
      </c>
      <c r="G3" s="460">
        <f t="shared" si="0"/>
        <v>15000</v>
      </c>
      <c r="H3" s="460">
        <f t="shared" si="0"/>
        <v>0</v>
      </c>
      <c r="I3" s="460">
        <f t="shared" si="0"/>
        <v>15000</v>
      </c>
      <c r="J3" s="460">
        <f t="shared" si="0"/>
        <v>0</v>
      </c>
      <c r="K3" s="460">
        <f t="shared" si="0"/>
        <v>15000</v>
      </c>
      <c r="L3" s="460">
        <f t="shared" si="0"/>
        <v>0</v>
      </c>
      <c r="M3" s="460">
        <f t="shared" si="0"/>
        <v>15000</v>
      </c>
      <c r="N3" s="460">
        <f t="shared" si="0"/>
        <v>0</v>
      </c>
    </row>
    <row r="4" spans="1:14" s="191" customFormat="1" ht="16">
      <c r="A4" s="384" t="s">
        <v>740</v>
      </c>
      <c r="B4" s="456"/>
      <c r="C4" s="453">
        <v>15000</v>
      </c>
      <c r="D4" s="453"/>
      <c r="E4" s="453">
        <v>15000</v>
      </c>
      <c r="F4" s="453"/>
      <c r="G4" s="453">
        <v>15000</v>
      </c>
      <c r="H4" s="453"/>
      <c r="I4" s="453">
        <v>15000</v>
      </c>
      <c r="J4" s="453"/>
      <c r="K4" s="453">
        <v>15000</v>
      </c>
      <c r="L4" s="453"/>
      <c r="M4" s="453">
        <v>15000</v>
      </c>
      <c r="N4" s="453"/>
    </row>
    <row r="5" spans="1:14" ht="32">
      <c r="A5" s="458" t="s">
        <v>739</v>
      </c>
      <c r="B5" s="457"/>
      <c r="C5" s="454"/>
      <c r="D5" s="455"/>
      <c r="E5" s="455"/>
      <c r="F5" s="455"/>
      <c r="G5" s="455"/>
      <c r="H5" s="455"/>
      <c r="I5" s="455"/>
      <c r="J5" s="455"/>
      <c r="K5" s="455"/>
      <c r="L5" s="455"/>
      <c r="M5" s="455"/>
      <c r="N5" s="455"/>
    </row>
  </sheetData>
  <mergeCells count="1">
    <mergeCell ref="F1:H1"/>
  </mergeCells>
  <hyperlinks>
    <hyperlink ref="A1" location="Бюджет" display="Бюджет" xr:uid="{00000000-0004-0000-3400-000000000000}"/>
    <hyperlink ref="F1:H1" location="Бюджет" display="2-0049" xr:uid="{00000000-0004-0000-3400-000001000000}"/>
  </hyperlinks>
  <pageMargins left="0.7" right="0.7" top="0.75" bottom="0.75" header="0.3" footer="0.3"/>
  <pageSetup paperSize="9" orientation="portrait" horizontalDpi="0" verticalDpi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N3"/>
  <sheetViews>
    <sheetView workbookViewId="0">
      <selection activeCell="J3" sqref="J3"/>
    </sheetView>
  </sheetViews>
  <sheetFormatPr baseColWidth="10" defaultColWidth="8.83203125" defaultRowHeight="15"/>
  <cols>
    <col min="1" max="1" width="49.33203125" customWidth="1"/>
  </cols>
  <sheetData>
    <row r="1" spans="1:14">
      <c r="A1" s="223" t="s">
        <v>206</v>
      </c>
      <c r="F1" s="689" t="s">
        <v>180</v>
      </c>
      <c r="G1" s="689"/>
      <c r="H1" s="689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6">
      <c r="A3" s="210" t="s">
        <v>315</v>
      </c>
      <c r="B3" s="209">
        <f>SUM(C3:N3)</f>
        <v>30000</v>
      </c>
      <c r="C3" s="429"/>
      <c r="D3" s="430"/>
      <c r="E3" s="430">
        <v>10000</v>
      </c>
      <c r="F3" s="430"/>
      <c r="G3" s="430"/>
      <c r="H3" s="430"/>
      <c r="I3" s="430"/>
      <c r="J3" s="430">
        <v>10000</v>
      </c>
      <c r="K3" s="430"/>
      <c r="L3" s="430"/>
      <c r="M3" s="430"/>
      <c r="N3" s="430">
        <v>10000</v>
      </c>
    </row>
  </sheetData>
  <mergeCells count="1">
    <mergeCell ref="F1:H1"/>
  </mergeCells>
  <hyperlinks>
    <hyperlink ref="A1" location="Бюджет" display="Бюджет" xr:uid="{00000000-0004-0000-3500-000000000000}"/>
    <hyperlink ref="F1:H1" location="Бюджет" display="2-0050" xr:uid="{00000000-0004-0000-3500-000001000000}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N4"/>
  <sheetViews>
    <sheetView workbookViewId="0"/>
  </sheetViews>
  <sheetFormatPr baseColWidth="10" defaultColWidth="8.83203125" defaultRowHeight="15"/>
  <cols>
    <col min="1" max="1" width="44.33203125" customWidth="1"/>
    <col min="2" max="2" width="11.6640625" customWidth="1"/>
  </cols>
  <sheetData>
    <row r="1" spans="1:14">
      <c r="A1" s="223" t="s">
        <v>206</v>
      </c>
      <c r="F1" s="689" t="s">
        <v>181</v>
      </c>
      <c r="G1" s="689"/>
      <c r="H1" s="689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32">
      <c r="A3" s="208" t="s">
        <v>723</v>
      </c>
      <c r="B3" s="209">
        <f>SUM(C3:N3)</f>
        <v>90000</v>
      </c>
      <c r="C3" s="443"/>
      <c r="D3" s="484">
        <v>15000</v>
      </c>
      <c r="E3" s="443"/>
      <c r="F3" s="484">
        <v>15000</v>
      </c>
      <c r="G3" s="484"/>
      <c r="H3" s="484">
        <v>15000</v>
      </c>
      <c r="I3" s="484"/>
      <c r="J3" s="484">
        <v>15000</v>
      </c>
      <c r="K3" s="443"/>
      <c r="L3" s="484">
        <v>15000</v>
      </c>
      <c r="M3" s="443"/>
      <c r="N3" s="484">
        <v>15000</v>
      </c>
    </row>
    <row r="4" spans="1:14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</sheetData>
  <mergeCells count="1">
    <mergeCell ref="F1:H1"/>
  </mergeCells>
  <hyperlinks>
    <hyperlink ref="A1" location="Бюджет" display="Бюджет" xr:uid="{00000000-0004-0000-3600-000000000000}"/>
    <hyperlink ref="F1:H1" location="Бюджет" display="2-0029" xr:uid="{00000000-0004-0000-3600-000001000000}"/>
  </hyperlinks>
  <pageMargins left="0.7" right="0.7" top="0.75" bottom="0.75" header="0.3" footer="0.3"/>
  <pageSetup paperSize="9" orientation="portrait" horizontalDpi="0" verticalDpi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N3"/>
  <sheetViews>
    <sheetView workbookViewId="0"/>
  </sheetViews>
  <sheetFormatPr baseColWidth="10" defaultColWidth="8.83203125" defaultRowHeight="15"/>
  <cols>
    <col min="1" max="1" width="30" customWidth="1"/>
    <col min="2" max="2" width="9.5" customWidth="1"/>
    <col min="3" max="9" width="8.5" customWidth="1"/>
    <col min="10" max="10" width="11.83203125" customWidth="1"/>
    <col min="11" max="14" width="8.5" customWidth="1"/>
  </cols>
  <sheetData>
    <row r="1" spans="1:14">
      <c r="A1" s="223" t="s">
        <v>206</v>
      </c>
      <c r="F1" s="689" t="s">
        <v>182</v>
      </c>
      <c r="G1" s="689"/>
      <c r="H1" s="689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6" customFormat="1" ht="32">
      <c r="A3" s="211" t="s">
        <v>102</v>
      </c>
      <c r="B3" s="212">
        <f>SUM(C3:N3)</f>
        <v>90000</v>
      </c>
      <c r="C3" s="444"/>
      <c r="D3" s="445"/>
      <c r="E3" s="445"/>
      <c r="F3" s="445">
        <v>30000</v>
      </c>
      <c r="G3" s="445"/>
      <c r="H3" s="445"/>
      <c r="I3" s="445"/>
      <c r="J3" s="445">
        <v>30000</v>
      </c>
      <c r="K3" s="445"/>
      <c r="L3" s="445"/>
      <c r="M3" s="445"/>
      <c r="N3" s="445">
        <v>30000</v>
      </c>
    </row>
  </sheetData>
  <mergeCells count="1">
    <mergeCell ref="F1:H1"/>
  </mergeCells>
  <hyperlinks>
    <hyperlink ref="A1" location="Бюджет" display="Бюджет" xr:uid="{00000000-0004-0000-3700-000000000000}"/>
    <hyperlink ref="F1:H1" location="Бюджет" display="2-0052" xr:uid="{00000000-0004-0000-3700-000001000000}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N5"/>
  <sheetViews>
    <sheetView workbookViewId="0"/>
  </sheetViews>
  <sheetFormatPr baseColWidth="10" defaultColWidth="8.83203125" defaultRowHeight="15"/>
  <cols>
    <col min="1" max="1" width="46.1640625" customWidth="1"/>
    <col min="2" max="2" width="12" customWidth="1"/>
    <col min="5" max="5" width="10.83203125" customWidth="1"/>
    <col min="6" max="7" width="9.83203125" bestFit="1" customWidth="1"/>
  </cols>
  <sheetData>
    <row r="1" spans="1:14">
      <c r="A1" s="223" t="s">
        <v>206</v>
      </c>
      <c r="F1" s="689" t="s">
        <v>183</v>
      </c>
      <c r="G1" s="689"/>
      <c r="H1" s="689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6">
      <c r="A3" s="384" t="s">
        <v>312</v>
      </c>
      <c r="B3" s="217">
        <f>SUM(C3:N3)</f>
        <v>240000</v>
      </c>
      <c r="C3" s="390">
        <f>SUM(C4:C5)</f>
        <v>20000</v>
      </c>
      <c r="D3" s="390">
        <f t="shared" ref="D3:N3" si="0">SUM(D4:D5)</f>
        <v>20000</v>
      </c>
      <c r="E3" s="390">
        <f t="shared" si="0"/>
        <v>20000</v>
      </c>
      <c r="F3" s="390">
        <f t="shared" si="0"/>
        <v>20000</v>
      </c>
      <c r="G3" s="390">
        <f t="shared" si="0"/>
        <v>20000</v>
      </c>
      <c r="H3" s="390">
        <f t="shared" si="0"/>
        <v>20000</v>
      </c>
      <c r="I3" s="390">
        <f t="shared" si="0"/>
        <v>20000</v>
      </c>
      <c r="J3" s="390">
        <f t="shared" si="0"/>
        <v>20000</v>
      </c>
      <c r="K3" s="390">
        <f t="shared" si="0"/>
        <v>20000</v>
      </c>
      <c r="L3" s="390">
        <f t="shared" si="0"/>
        <v>20000</v>
      </c>
      <c r="M3" s="390">
        <f t="shared" si="0"/>
        <v>20000</v>
      </c>
      <c r="N3" s="390">
        <f t="shared" si="0"/>
        <v>20000</v>
      </c>
    </row>
    <row r="4" spans="1:14">
      <c r="A4" s="67" t="s">
        <v>698</v>
      </c>
      <c r="B4" s="525"/>
      <c r="C4" s="67">
        <v>15000</v>
      </c>
      <c r="D4" s="67">
        <v>15000</v>
      </c>
      <c r="E4" s="67">
        <v>15000</v>
      </c>
      <c r="F4" s="67">
        <v>15000</v>
      </c>
      <c r="G4" s="67">
        <v>15000</v>
      </c>
      <c r="H4" s="67">
        <v>15000</v>
      </c>
      <c r="I4" s="67">
        <v>15000</v>
      </c>
      <c r="J4" s="67">
        <v>15000</v>
      </c>
      <c r="K4" s="67">
        <v>15000</v>
      </c>
      <c r="L4" s="67">
        <v>15000</v>
      </c>
      <c r="M4" s="67">
        <v>15000</v>
      </c>
      <c r="N4" s="67">
        <v>15000</v>
      </c>
    </row>
    <row r="5" spans="1:14">
      <c r="A5" t="s">
        <v>699</v>
      </c>
      <c r="C5" s="67">
        <v>5000</v>
      </c>
      <c r="D5" s="67">
        <v>5000</v>
      </c>
      <c r="E5" s="67">
        <v>5000</v>
      </c>
      <c r="F5" s="67">
        <v>5000</v>
      </c>
      <c r="G5" s="67">
        <v>5000</v>
      </c>
      <c r="H5" s="67">
        <v>5000</v>
      </c>
      <c r="I5" s="67">
        <v>5000</v>
      </c>
      <c r="J5" s="67">
        <v>5000</v>
      </c>
      <c r="K5" s="67">
        <v>5000</v>
      </c>
      <c r="L5" s="67">
        <v>5000</v>
      </c>
      <c r="M5" s="67">
        <v>5000</v>
      </c>
      <c r="N5" s="67">
        <v>5000</v>
      </c>
    </row>
  </sheetData>
  <mergeCells count="1">
    <mergeCell ref="F1:H1"/>
  </mergeCells>
  <hyperlinks>
    <hyperlink ref="A1" location="Бюджет" display="Бюджет" xr:uid="{00000000-0004-0000-3800-000000000000}"/>
    <hyperlink ref="F1:H1" location="Бюджет" display="2-0029" xr:uid="{00000000-0004-0000-3800-000001000000}"/>
  </hyperlinks>
  <pageMargins left="0.7" right="0.7" top="0.75" bottom="0.75" header="0.3" footer="0.3"/>
  <pageSetup paperSize="9" orientation="portrait" horizontalDpi="0" verticalDpi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N7"/>
  <sheetViews>
    <sheetView workbookViewId="0"/>
  </sheetViews>
  <sheetFormatPr baseColWidth="10" defaultColWidth="8.83203125" defaultRowHeight="15"/>
  <cols>
    <col min="1" max="1" width="34.6640625" customWidth="1"/>
    <col min="2" max="2" width="9.83203125" bestFit="1" customWidth="1"/>
    <col min="5" max="5" width="10.83203125" customWidth="1"/>
    <col min="8" max="8" width="9.83203125" bestFit="1" customWidth="1"/>
    <col min="11" max="11" width="8.83203125" customWidth="1"/>
    <col min="12" max="12" width="11" customWidth="1"/>
    <col min="14" max="14" width="10.1640625" customWidth="1"/>
  </cols>
  <sheetData>
    <row r="1" spans="1:14">
      <c r="A1" s="223" t="s">
        <v>206</v>
      </c>
      <c r="F1" s="689" t="s">
        <v>184</v>
      </c>
      <c r="G1" s="689"/>
      <c r="H1" s="689"/>
    </row>
    <row r="2" spans="1:14" s="10" customFormat="1" ht="14" thickBot="1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48">
      <c r="A3" s="213" t="s">
        <v>105</v>
      </c>
      <c r="B3" s="385">
        <f>SUM(C3:N3)</f>
        <v>380000</v>
      </c>
      <c r="C3" s="432">
        <f>SUM(C4:C7)</f>
        <v>40000</v>
      </c>
      <c r="D3" s="432">
        <f t="shared" ref="D3:N3" si="0">SUM(D4:D7)</f>
        <v>20000</v>
      </c>
      <c r="E3" s="432">
        <f t="shared" si="0"/>
        <v>20000</v>
      </c>
      <c r="F3" s="432">
        <f t="shared" si="0"/>
        <v>20000</v>
      </c>
      <c r="G3" s="432">
        <f t="shared" si="0"/>
        <v>40000</v>
      </c>
      <c r="H3" s="432">
        <f t="shared" si="0"/>
        <v>0</v>
      </c>
      <c r="I3" s="432">
        <f t="shared" si="0"/>
        <v>40000</v>
      </c>
      <c r="J3" s="432">
        <f t="shared" si="0"/>
        <v>20000</v>
      </c>
      <c r="K3" s="432">
        <f t="shared" si="0"/>
        <v>20000</v>
      </c>
      <c r="L3" s="432">
        <f t="shared" si="0"/>
        <v>120000</v>
      </c>
      <c r="M3" s="432">
        <f t="shared" si="0"/>
        <v>40000</v>
      </c>
      <c r="N3" s="432">
        <f t="shared" si="0"/>
        <v>0</v>
      </c>
    </row>
    <row r="4" spans="1:14" ht="32">
      <c r="A4" s="386" t="s">
        <v>217</v>
      </c>
      <c r="B4" s="488"/>
      <c r="C4" s="488">
        <v>20000</v>
      </c>
      <c r="D4" s="488">
        <v>20000</v>
      </c>
      <c r="E4" s="488"/>
      <c r="F4" s="488">
        <v>20000</v>
      </c>
      <c r="G4" s="488">
        <v>20000</v>
      </c>
      <c r="H4" s="488"/>
      <c r="I4" s="488">
        <v>20000</v>
      </c>
      <c r="J4" s="488">
        <v>20000</v>
      </c>
      <c r="K4" s="488"/>
      <c r="L4" s="488">
        <v>20000</v>
      </c>
      <c r="M4" s="488">
        <v>20000</v>
      </c>
      <c r="N4" s="488"/>
    </row>
    <row r="5" spans="1:14">
      <c r="A5" s="67" t="s">
        <v>650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>
        <v>100000</v>
      </c>
      <c r="M5" s="67"/>
      <c r="N5" s="67"/>
    </row>
    <row r="6" spans="1:14" ht="16">
      <c r="A6" s="489" t="s">
        <v>682</v>
      </c>
      <c r="B6" s="67"/>
      <c r="C6" s="67">
        <v>20000</v>
      </c>
      <c r="D6" s="67"/>
      <c r="E6" s="67">
        <v>20000</v>
      </c>
      <c r="F6" s="67"/>
      <c r="G6" s="67">
        <v>20000</v>
      </c>
      <c r="H6" s="67"/>
      <c r="I6" s="67">
        <v>20000</v>
      </c>
      <c r="J6" s="67"/>
      <c r="K6" s="67">
        <v>20000</v>
      </c>
      <c r="L6" s="67"/>
      <c r="M6" s="67">
        <v>20000</v>
      </c>
      <c r="N6" s="67"/>
    </row>
    <row r="7" spans="1:14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</row>
  </sheetData>
  <mergeCells count="1">
    <mergeCell ref="F1:H1"/>
  </mergeCells>
  <hyperlinks>
    <hyperlink ref="A1" location="Бюджет" display="Бюджет" xr:uid="{00000000-0004-0000-3900-000000000000}"/>
    <hyperlink ref="F1:H1" location="Бюджет" display="2-0029" xr:uid="{00000000-0004-0000-3900-000001000000}"/>
  </hyperlinks>
  <pageMargins left="0.7" right="0.7" top="0.75" bottom="0.75" header="0.3" footer="0.3"/>
  <pageSetup paperSize="9" orientation="portrait" horizontalDpi="0" verticalDpi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N3"/>
  <sheetViews>
    <sheetView workbookViewId="0"/>
  </sheetViews>
  <sheetFormatPr baseColWidth="10" defaultColWidth="8.83203125" defaultRowHeight="15"/>
  <cols>
    <col min="1" max="1" width="50.5" customWidth="1"/>
  </cols>
  <sheetData>
    <row r="1" spans="1:14">
      <c r="A1" s="223" t="s">
        <v>206</v>
      </c>
      <c r="F1" s="697" t="s">
        <v>185</v>
      </c>
      <c r="G1" s="697"/>
      <c r="H1" s="697"/>
    </row>
    <row r="2" spans="1:14" s="10" customFormat="1" ht="14" thickBot="1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33" thickBot="1">
      <c r="A3" s="214" t="s">
        <v>106</v>
      </c>
      <c r="B3" s="209">
        <f>SUM(C3:N3)</f>
        <v>60000</v>
      </c>
      <c r="C3" s="152"/>
      <c r="D3" s="98"/>
      <c r="E3" s="98"/>
      <c r="F3" s="98"/>
      <c r="G3" s="98">
        <v>30000</v>
      </c>
      <c r="H3" s="98"/>
      <c r="I3" s="433"/>
      <c r="J3" s="433"/>
      <c r="K3" s="433">
        <v>30000</v>
      </c>
      <c r="L3" s="433"/>
      <c r="M3" s="433"/>
      <c r="N3" s="98"/>
    </row>
  </sheetData>
  <mergeCells count="1">
    <mergeCell ref="F1:H1"/>
  </mergeCells>
  <hyperlinks>
    <hyperlink ref="A1" location="Бюджет" display="Бюджет" xr:uid="{00000000-0004-0000-3A00-000000000000}"/>
    <hyperlink ref="F1:H1" location="Бюджет" display="2-0070" xr:uid="{00000000-0004-0000-3A00-000001000000}"/>
  </hyperlinks>
  <pageMargins left="0.7" right="0.7" top="0.75" bottom="0.75" header="0.3" footer="0.3"/>
  <pageSetup paperSize="9" orientation="portrait" horizontalDpi="0" verticalDpi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N3"/>
  <sheetViews>
    <sheetView workbookViewId="0"/>
  </sheetViews>
  <sheetFormatPr baseColWidth="10" defaultColWidth="8.83203125" defaultRowHeight="15"/>
  <cols>
    <col min="1" max="1" width="41" customWidth="1"/>
    <col min="2" max="2" width="12.1640625" customWidth="1"/>
  </cols>
  <sheetData>
    <row r="1" spans="1:14" ht="16">
      <c r="A1" s="223" t="s">
        <v>206</v>
      </c>
      <c r="F1" s="698" t="s">
        <v>186</v>
      </c>
      <c r="G1" s="698"/>
      <c r="H1" s="698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32">
      <c r="A3" s="215" t="s">
        <v>284</v>
      </c>
      <c r="B3" s="209">
        <f>SUM(C3:N3)</f>
        <v>135000</v>
      </c>
      <c r="C3" s="486">
        <v>30000</v>
      </c>
      <c r="D3" s="486">
        <v>15000</v>
      </c>
      <c r="E3" s="486"/>
      <c r="F3" s="486"/>
      <c r="G3" s="486">
        <v>15000</v>
      </c>
      <c r="H3" s="486"/>
      <c r="I3" s="486">
        <v>15000</v>
      </c>
      <c r="J3" s="486">
        <v>15000</v>
      </c>
      <c r="K3" s="486"/>
      <c r="L3" s="486">
        <v>15000</v>
      </c>
      <c r="M3" s="486">
        <v>15000</v>
      </c>
      <c r="N3" s="486">
        <v>15000</v>
      </c>
    </row>
  </sheetData>
  <mergeCells count="1">
    <mergeCell ref="F1:H1"/>
  </mergeCells>
  <hyperlinks>
    <hyperlink ref="A1" location="Бюджет" display="Бюджет" xr:uid="{00000000-0004-0000-3B00-000000000000}"/>
    <hyperlink ref="F1:H1" location="Бюджет!R1C1" display="2-0064" xr:uid="{00000000-0004-0000-3B00-000001000000}"/>
  </hyperlinks>
  <pageMargins left="0.7" right="0.7" top="0.75" bottom="0.75" header="0.3" footer="0.3"/>
  <pageSetup paperSize="9" orientation="portrait" horizontalDpi="0" verticalDpi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N8"/>
  <sheetViews>
    <sheetView workbookViewId="0"/>
  </sheetViews>
  <sheetFormatPr baseColWidth="10" defaultColWidth="8.83203125" defaultRowHeight="15"/>
  <cols>
    <col min="1" max="1" width="54.83203125" customWidth="1"/>
    <col min="2" max="2" width="11" customWidth="1"/>
    <col min="5" max="5" width="11.83203125" customWidth="1"/>
    <col min="6" max="6" width="12.5" customWidth="1"/>
    <col min="8" max="8" width="10.6640625" customWidth="1"/>
    <col min="9" max="9" width="11.1640625" customWidth="1"/>
    <col min="10" max="10" width="18.33203125" customWidth="1"/>
    <col min="11" max="11" width="14" customWidth="1"/>
  </cols>
  <sheetData>
    <row r="1" spans="1:14" ht="16">
      <c r="A1" s="223" t="s">
        <v>206</v>
      </c>
      <c r="F1" s="698" t="s">
        <v>187</v>
      </c>
      <c r="G1" s="698"/>
      <c r="H1" s="698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89" customFormat="1">
      <c r="A3" s="183"/>
      <c r="B3" s="162">
        <f>SUM(C3:N3)</f>
        <v>40000</v>
      </c>
      <c r="C3" s="99">
        <f>SUM(C4:C8)</f>
        <v>0</v>
      </c>
      <c r="D3" s="99">
        <f t="shared" ref="D3:N3" si="0">SUM(D4:D8)</f>
        <v>0</v>
      </c>
      <c r="E3" s="99">
        <f t="shared" si="0"/>
        <v>0</v>
      </c>
      <c r="F3" s="99">
        <f t="shared" si="0"/>
        <v>40000</v>
      </c>
      <c r="G3" s="99">
        <f t="shared" si="0"/>
        <v>0</v>
      </c>
      <c r="H3" s="99">
        <f t="shared" si="0"/>
        <v>0</v>
      </c>
      <c r="I3" s="99">
        <f t="shared" si="0"/>
        <v>0</v>
      </c>
      <c r="J3" s="99">
        <f t="shared" si="0"/>
        <v>0</v>
      </c>
      <c r="K3" s="99">
        <f t="shared" si="0"/>
        <v>0</v>
      </c>
      <c r="L3" s="99">
        <f t="shared" si="0"/>
        <v>0</v>
      </c>
      <c r="M3" s="99">
        <f t="shared" si="0"/>
        <v>0</v>
      </c>
      <c r="N3" s="99">
        <f t="shared" si="0"/>
        <v>0</v>
      </c>
    </row>
    <row r="4" spans="1:14" ht="42" customHeight="1">
      <c r="A4" s="387" t="s">
        <v>285</v>
      </c>
      <c r="B4" s="67"/>
      <c r="C4" s="67"/>
      <c r="D4" s="67"/>
      <c r="E4" s="67"/>
      <c r="F4" s="494"/>
      <c r="G4" s="67"/>
      <c r="H4" s="67"/>
      <c r="I4" s="67"/>
      <c r="J4" s="67"/>
      <c r="K4" s="67"/>
      <c r="L4" s="67"/>
      <c r="M4" s="67"/>
      <c r="N4" s="67"/>
    </row>
    <row r="5" spans="1:14" ht="16">
      <c r="A5" s="386" t="s">
        <v>218</v>
      </c>
      <c r="B5" s="488"/>
      <c r="C5" s="488"/>
      <c r="D5" s="488"/>
      <c r="E5" s="488"/>
      <c r="F5" s="488">
        <v>40000</v>
      </c>
      <c r="G5" s="488"/>
      <c r="H5" s="488"/>
      <c r="I5" s="488"/>
      <c r="J5" s="488"/>
      <c r="K5" s="488"/>
      <c r="L5" s="488"/>
      <c r="M5" s="488"/>
      <c r="N5" s="488"/>
    </row>
    <row r="6" spans="1:14" ht="45.75" customHeight="1">
      <c r="A6" s="452"/>
      <c r="B6" s="488"/>
      <c r="C6" s="488"/>
      <c r="D6" s="488"/>
      <c r="E6" s="488"/>
      <c r="F6" s="488"/>
      <c r="G6" s="488"/>
      <c r="H6" s="488"/>
      <c r="I6" s="488"/>
      <c r="J6" s="488"/>
      <c r="K6" s="488"/>
      <c r="L6" s="488"/>
      <c r="M6" s="488"/>
      <c r="N6" s="488"/>
    </row>
    <row r="7" spans="1:14">
      <c r="A7" s="67"/>
      <c r="B7" s="67"/>
      <c r="C7" s="67"/>
      <c r="D7" s="67"/>
      <c r="E7" s="67"/>
      <c r="F7" s="488"/>
      <c r="G7" s="67"/>
      <c r="H7" s="67"/>
      <c r="I7" s="67"/>
      <c r="J7" s="67"/>
      <c r="K7" s="67"/>
      <c r="L7" s="67"/>
      <c r="M7" s="67"/>
      <c r="N7" s="67"/>
    </row>
    <row r="8" spans="1:14">
      <c r="A8" s="485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</row>
  </sheetData>
  <mergeCells count="1">
    <mergeCell ref="F1:H1"/>
  </mergeCells>
  <hyperlinks>
    <hyperlink ref="A1" location="Бюджет" display="Бюджет" xr:uid="{00000000-0004-0000-3C00-000000000000}"/>
    <hyperlink ref="F1:H1" location="Бюджет!R1C1" display="2-0064" xr:uid="{00000000-0004-0000-3C00-000001000000}"/>
  </hyperlinks>
  <pageMargins left="0.7" right="0.7" top="0.75" bottom="0.75" header="0.3" footer="0.3"/>
  <pageSetup paperSize="9" orientation="portrait" horizontalDpi="0" verticalDpi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N9"/>
  <sheetViews>
    <sheetView workbookViewId="0"/>
  </sheetViews>
  <sheetFormatPr baseColWidth="10" defaultColWidth="8.83203125" defaultRowHeight="15"/>
  <cols>
    <col min="1" max="1" width="58.5" customWidth="1"/>
    <col min="2" max="2" width="11.6640625" customWidth="1"/>
    <col min="3" max="3" width="11" customWidth="1"/>
    <col min="4" max="4" width="12.33203125" customWidth="1"/>
    <col min="5" max="5" width="11.5" customWidth="1"/>
    <col min="6" max="6" width="11" customWidth="1"/>
    <col min="7" max="7" width="13.1640625" customWidth="1"/>
    <col min="8" max="8" width="11.83203125" customWidth="1"/>
    <col min="9" max="9" width="10.33203125" customWidth="1"/>
    <col min="10" max="10" width="13" customWidth="1"/>
    <col min="11" max="11" width="11.5" customWidth="1"/>
    <col min="12" max="12" width="11.83203125" customWidth="1"/>
    <col min="13" max="13" width="11" customWidth="1"/>
    <col min="14" max="14" width="11.6640625" customWidth="1"/>
  </cols>
  <sheetData>
    <row r="1" spans="1:14" ht="16">
      <c r="A1" s="223" t="s">
        <v>206</v>
      </c>
      <c r="F1" s="698" t="s">
        <v>188</v>
      </c>
      <c r="G1" s="698"/>
      <c r="H1" s="698"/>
    </row>
    <row r="2" spans="1:14" s="10" customFormat="1" ht="13">
      <c r="B2" s="274"/>
      <c r="C2" s="274" t="s">
        <v>63</v>
      </c>
      <c r="D2" s="274" t="s">
        <v>64</v>
      </c>
      <c r="E2" s="274" t="s">
        <v>65</v>
      </c>
      <c r="F2" s="274" t="s">
        <v>66</v>
      </c>
      <c r="G2" s="274" t="s">
        <v>60</v>
      </c>
      <c r="H2" s="274" t="s">
        <v>67</v>
      </c>
      <c r="I2" s="274" t="s">
        <v>68</v>
      </c>
      <c r="J2" s="274" t="s">
        <v>69</v>
      </c>
      <c r="K2" s="274" t="s">
        <v>70</v>
      </c>
      <c r="L2" s="274" t="s">
        <v>71</v>
      </c>
      <c r="M2" s="274" t="s">
        <v>72</v>
      </c>
      <c r="N2" s="274" t="s">
        <v>73</v>
      </c>
    </row>
    <row r="3" spans="1:14" s="191" customFormat="1" ht="32">
      <c r="A3" s="210" t="s">
        <v>286</v>
      </c>
      <c r="B3" s="217">
        <f>SUM(C3:N3)</f>
        <v>300000</v>
      </c>
      <c r="C3" s="99">
        <f>SUM(C4:C9)</f>
        <v>45000</v>
      </c>
      <c r="D3" s="99">
        <f t="shared" ref="D3:N3" si="0">SUM(D4:D9)</f>
        <v>15000</v>
      </c>
      <c r="E3" s="99">
        <f t="shared" si="0"/>
        <v>15000</v>
      </c>
      <c r="F3" s="99">
        <f t="shared" si="0"/>
        <v>55000</v>
      </c>
      <c r="G3" s="99">
        <f t="shared" si="0"/>
        <v>50000</v>
      </c>
      <c r="H3" s="99">
        <f t="shared" si="0"/>
        <v>0</v>
      </c>
      <c r="I3" s="99">
        <f t="shared" si="0"/>
        <v>30000</v>
      </c>
      <c r="J3" s="99">
        <f t="shared" si="0"/>
        <v>15000</v>
      </c>
      <c r="K3" s="99">
        <f t="shared" si="0"/>
        <v>15000</v>
      </c>
      <c r="L3" s="99">
        <f t="shared" si="0"/>
        <v>15000</v>
      </c>
      <c r="M3" s="99">
        <f t="shared" si="0"/>
        <v>30000</v>
      </c>
      <c r="N3" s="99">
        <f t="shared" si="0"/>
        <v>15000</v>
      </c>
    </row>
    <row r="4" spans="1:14">
      <c r="A4" s="67" t="s">
        <v>219</v>
      </c>
      <c r="B4" s="67"/>
      <c r="C4" s="486"/>
      <c r="D4" s="486"/>
      <c r="E4" s="486"/>
      <c r="F4" s="486">
        <v>30000</v>
      </c>
      <c r="G4" s="486"/>
      <c r="H4" s="486"/>
      <c r="I4" s="486"/>
      <c r="J4" s="486"/>
      <c r="K4" s="486"/>
      <c r="L4" s="486"/>
      <c r="M4" s="486"/>
      <c r="N4" s="486"/>
    </row>
    <row r="5" spans="1:14" ht="16">
      <c r="A5" s="386" t="s">
        <v>287</v>
      </c>
      <c r="B5" s="67"/>
      <c r="C5" s="486"/>
      <c r="D5" s="486"/>
      <c r="E5" s="486"/>
      <c r="F5" s="486"/>
      <c r="G5" s="486">
        <v>20000</v>
      </c>
      <c r="H5" s="486"/>
      <c r="I5" s="486"/>
      <c r="J5" s="486"/>
      <c r="K5" s="486"/>
      <c r="L5" s="486"/>
      <c r="M5" s="486"/>
      <c r="N5" s="486"/>
    </row>
    <row r="6" spans="1:14">
      <c r="A6" s="67" t="s">
        <v>288</v>
      </c>
      <c r="B6" s="67"/>
      <c r="C6" s="486">
        <v>30000</v>
      </c>
      <c r="D6" s="486">
        <v>15000</v>
      </c>
      <c r="E6" s="486"/>
      <c r="F6" s="486"/>
      <c r="G6" s="486">
        <v>15000</v>
      </c>
      <c r="H6" s="486"/>
      <c r="I6" s="486">
        <v>15000</v>
      </c>
      <c r="J6" s="486">
        <v>15000</v>
      </c>
      <c r="K6" s="486"/>
      <c r="L6" s="486">
        <v>15000</v>
      </c>
      <c r="M6" s="486">
        <v>15000</v>
      </c>
      <c r="N6" s="486">
        <v>15000</v>
      </c>
    </row>
    <row r="7" spans="1:14">
      <c r="A7" s="67" t="s">
        <v>646</v>
      </c>
      <c r="B7" s="67"/>
      <c r="C7" s="486">
        <v>15000</v>
      </c>
      <c r="D7" s="486"/>
      <c r="E7" s="486">
        <v>15000</v>
      </c>
      <c r="F7" s="486"/>
      <c r="G7" s="486">
        <v>15000</v>
      </c>
      <c r="H7" s="486"/>
      <c r="I7" s="486">
        <v>15000</v>
      </c>
      <c r="J7" s="486"/>
      <c r="K7" s="486">
        <v>15000</v>
      </c>
      <c r="L7" s="486"/>
      <c r="M7" s="486">
        <v>15000</v>
      </c>
      <c r="N7" s="486"/>
    </row>
    <row r="8" spans="1:14" ht="16">
      <c r="A8" s="487" t="s">
        <v>647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</row>
    <row r="9" spans="1:14">
      <c r="A9" s="485" t="s">
        <v>648</v>
      </c>
      <c r="B9" s="67"/>
      <c r="C9" s="67"/>
      <c r="D9" s="67"/>
      <c r="E9" s="67"/>
      <c r="F9" s="67">
        <v>25000</v>
      </c>
      <c r="G9" s="67"/>
      <c r="H9" s="67"/>
      <c r="I9" s="67"/>
      <c r="J9" s="67"/>
      <c r="K9" s="67"/>
      <c r="L9" s="67"/>
      <c r="M9" s="67"/>
      <c r="N9" s="67"/>
    </row>
  </sheetData>
  <mergeCells count="1">
    <mergeCell ref="F1:H1"/>
  </mergeCells>
  <hyperlinks>
    <hyperlink ref="A1" location="Бюджет" display="Бюджет" xr:uid="{00000000-0004-0000-3D00-000000000000}"/>
    <hyperlink ref="F1:H1" location="Бюджет!R1C1" display="2-0064" xr:uid="{00000000-0004-0000-3D00-000001000000}"/>
  </hyperlink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N17"/>
  <sheetViews>
    <sheetView workbookViewId="0">
      <selection activeCell="A3" sqref="A3"/>
    </sheetView>
  </sheetViews>
  <sheetFormatPr baseColWidth="10" defaultColWidth="8.83203125" defaultRowHeight="15"/>
  <cols>
    <col min="1" max="1" width="55.6640625" customWidth="1"/>
    <col min="2" max="2" width="11.5" customWidth="1"/>
    <col min="7" max="7" width="12.83203125" customWidth="1"/>
    <col min="8" max="8" width="12.6640625" customWidth="1"/>
    <col min="9" max="9" width="11.33203125" customWidth="1"/>
    <col min="10" max="10" width="11.5" customWidth="1"/>
    <col min="11" max="11" width="10.33203125" customWidth="1"/>
  </cols>
  <sheetData>
    <row r="1" spans="1:14" ht="16">
      <c r="A1" s="223" t="s">
        <v>206</v>
      </c>
      <c r="F1" s="698" t="s">
        <v>189</v>
      </c>
      <c r="G1" s="698"/>
      <c r="H1" s="698"/>
    </row>
    <row r="2" spans="1:14" s="10" customFormat="1" ht="13">
      <c r="B2" s="87" t="s">
        <v>122</v>
      </c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32">
      <c r="A3" s="210" t="s">
        <v>110</v>
      </c>
      <c r="B3" s="209">
        <f>SUM(C3:N3)</f>
        <v>66000</v>
      </c>
      <c r="C3" s="150">
        <f t="shared" ref="C3:N3" si="0">SUM(C6:C39)</f>
        <v>0</v>
      </c>
      <c r="D3" s="150">
        <f t="shared" si="0"/>
        <v>0</v>
      </c>
      <c r="E3" s="150">
        <f t="shared" si="0"/>
        <v>0</v>
      </c>
      <c r="F3" s="150">
        <f t="shared" si="0"/>
        <v>0</v>
      </c>
      <c r="G3" s="150">
        <f t="shared" si="0"/>
        <v>35000</v>
      </c>
      <c r="H3" s="150">
        <f t="shared" si="0"/>
        <v>8000</v>
      </c>
      <c r="I3" s="150">
        <f t="shared" si="0"/>
        <v>15000</v>
      </c>
      <c r="J3" s="150">
        <f t="shared" si="0"/>
        <v>3000</v>
      </c>
      <c r="K3" s="150">
        <f t="shared" si="0"/>
        <v>5000</v>
      </c>
      <c r="L3" s="150">
        <f t="shared" si="0"/>
        <v>0</v>
      </c>
      <c r="M3" s="150">
        <f t="shared" si="0"/>
        <v>0</v>
      </c>
      <c r="N3" s="150">
        <f t="shared" si="0"/>
        <v>0</v>
      </c>
    </row>
    <row r="6" spans="1:14">
      <c r="A6" s="67" t="s">
        <v>219</v>
      </c>
      <c r="B6" s="67"/>
      <c r="C6" s="276"/>
      <c r="D6" s="276"/>
      <c r="E6" s="276"/>
      <c r="F6" s="276"/>
      <c r="G6" s="276">
        <v>28000</v>
      </c>
      <c r="H6" s="276"/>
      <c r="I6" s="276">
        <v>12000</v>
      </c>
      <c r="J6" s="276"/>
      <c r="K6" s="276"/>
      <c r="L6" s="276"/>
      <c r="M6" s="276"/>
      <c r="N6" s="276"/>
    </row>
    <row r="7" spans="1:14">
      <c r="A7" s="67" t="s">
        <v>220</v>
      </c>
      <c r="B7" s="67"/>
      <c r="C7" s="276"/>
      <c r="D7" s="276"/>
      <c r="E7" s="276"/>
      <c r="F7" s="276"/>
      <c r="G7" s="276">
        <v>3000</v>
      </c>
      <c r="H7" s="276">
        <v>3000</v>
      </c>
      <c r="I7" s="276">
        <v>3000</v>
      </c>
      <c r="J7" s="276">
        <v>3000</v>
      </c>
      <c r="K7" s="276"/>
      <c r="L7" s="276"/>
      <c r="M7" s="276"/>
      <c r="N7" s="276"/>
    </row>
    <row r="8" spans="1:14">
      <c r="A8" s="67" t="s">
        <v>221</v>
      </c>
      <c r="B8" s="67"/>
      <c r="C8" s="276"/>
      <c r="D8" s="276"/>
      <c r="E8" s="276"/>
      <c r="F8" s="276"/>
      <c r="G8" s="276">
        <v>4000</v>
      </c>
      <c r="H8" s="276">
        <v>5000</v>
      </c>
      <c r="I8" s="276"/>
      <c r="J8" s="276"/>
      <c r="K8" s="276">
        <v>5000</v>
      </c>
      <c r="L8" s="276"/>
      <c r="M8" s="276"/>
      <c r="N8" s="276"/>
    </row>
    <row r="9" spans="1:14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</row>
    <row r="10" spans="1:14">
      <c r="A10" s="67"/>
      <c r="B10" s="67"/>
      <c r="C10" s="276"/>
      <c r="D10" s="276"/>
      <c r="E10" s="276"/>
      <c r="F10" s="276"/>
      <c r="G10" s="276"/>
      <c r="H10" s="276"/>
      <c r="I10" s="276"/>
      <c r="J10" s="276"/>
      <c r="K10" s="276"/>
      <c r="L10" s="276"/>
      <c r="M10" s="276"/>
      <c r="N10" s="276"/>
    </row>
    <row r="11" spans="1:14">
      <c r="A11" s="67"/>
      <c r="B11" s="67"/>
      <c r="C11" s="276"/>
      <c r="D11" s="276"/>
      <c r="E11" s="276"/>
      <c r="F11" s="276"/>
      <c r="G11" s="276"/>
      <c r="H11" s="276"/>
      <c r="I11" s="276"/>
      <c r="J11" s="276"/>
      <c r="K11" s="276"/>
      <c r="L11" s="276"/>
      <c r="M11" s="276"/>
      <c r="N11" s="276"/>
    </row>
    <row r="12" spans="1:14">
      <c r="A12" s="67"/>
      <c r="B12" s="67"/>
      <c r="C12" s="276"/>
      <c r="D12" s="276"/>
      <c r="E12" s="276"/>
      <c r="F12" s="276"/>
      <c r="G12" s="276"/>
      <c r="H12" s="276"/>
      <c r="I12" s="276"/>
      <c r="J12" s="276"/>
      <c r="K12" s="276"/>
      <c r="L12" s="276"/>
      <c r="M12" s="276"/>
      <c r="N12" s="276"/>
    </row>
    <row r="13" spans="1:14">
      <c r="A13" s="67"/>
      <c r="B13" s="67"/>
      <c r="C13" s="276"/>
      <c r="D13" s="276"/>
      <c r="E13" s="276"/>
      <c r="F13" s="276"/>
      <c r="G13" s="276"/>
      <c r="H13" s="276"/>
      <c r="I13" s="276"/>
      <c r="J13" s="276"/>
      <c r="K13" s="276"/>
      <c r="L13" s="276"/>
      <c r="M13" s="276"/>
      <c r="N13" s="276"/>
    </row>
    <row r="14" spans="1:14">
      <c r="A14" s="67"/>
      <c r="B14" s="67"/>
      <c r="C14" s="276"/>
      <c r="D14" s="276"/>
      <c r="E14" s="276"/>
      <c r="F14" s="276"/>
      <c r="G14" s="276"/>
      <c r="H14" s="276"/>
      <c r="I14" s="276"/>
      <c r="J14" s="276"/>
      <c r="K14" s="276"/>
      <c r="L14" s="276"/>
      <c r="M14" s="276"/>
      <c r="N14" s="276"/>
    </row>
    <row r="15" spans="1:14">
      <c r="A15" s="67"/>
      <c r="B15" s="67"/>
      <c r="C15" s="276"/>
      <c r="D15" s="276"/>
      <c r="E15" s="276"/>
      <c r="F15" s="276"/>
      <c r="G15" s="276"/>
      <c r="H15" s="276"/>
      <c r="I15" s="276"/>
      <c r="J15" s="276"/>
      <c r="K15" s="276"/>
      <c r="L15" s="276"/>
      <c r="M15" s="276"/>
      <c r="N15" s="276"/>
    </row>
    <row r="16" spans="1:14">
      <c r="A16" s="67"/>
      <c r="B16" s="67"/>
      <c r="C16" s="276"/>
      <c r="D16" s="276"/>
      <c r="E16" s="276"/>
      <c r="F16" s="276"/>
      <c r="G16" s="276"/>
      <c r="H16" s="276"/>
      <c r="I16" s="276"/>
      <c r="J16" s="276"/>
      <c r="K16" s="276"/>
      <c r="L16" s="276"/>
      <c r="M16" s="276"/>
      <c r="N16" s="276"/>
    </row>
    <row r="17" spans="1:14">
      <c r="A17" s="67"/>
      <c r="B17" s="67"/>
      <c r="C17" s="276"/>
      <c r="D17" s="276"/>
      <c r="E17" s="276"/>
      <c r="F17" s="276"/>
      <c r="G17" s="276"/>
      <c r="H17" s="276"/>
      <c r="I17" s="276"/>
      <c r="J17" s="276"/>
      <c r="K17" s="276"/>
      <c r="L17" s="276"/>
      <c r="M17" s="276"/>
      <c r="N17" s="276"/>
    </row>
  </sheetData>
  <mergeCells count="1">
    <mergeCell ref="F1:H1"/>
  </mergeCells>
  <hyperlinks>
    <hyperlink ref="A1" location="Бюджет" display="Бюджет" xr:uid="{00000000-0004-0000-3E00-000000000000}"/>
    <hyperlink ref="F1:H1" location="Бюджет!R1C1" display="2-0064" xr:uid="{00000000-0004-0000-3E00-000001000000}"/>
  </hyperlinks>
  <pageMargins left="0.7" right="0.7" top="0.75" bottom="0.75" header="0.3" footer="0.3"/>
  <legacy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N7"/>
  <sheetViews>
    <sheetView workbookViewId="0"/>
  </sheetViews>
  <sheetFormatPr baseColWidth="10" defaultColWidth="8.83203125" defaultRowHeight="15"/>
  <cols>
    <col min="1" max="1" width="31" customWidth="1"/>
    <col min="2" max="2" width="15.1640625" customWidth="1"/>
    <col min="14" max="14" width="13" customWidth="1"/>
  </cols>
  <sheetData>
    <row r="1" spans="1:14" ht="16">
      <c r="A1" s="223" t="s">
        <v>206</v>
      </c>
      <c r="F1" s="698" t="s">
        <v>190</v>
      </c>
      <c r="G1" s="698"/>
      <c r="H1" s="698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32">
      <c r="A3" s="210" t="s">
        <v>111</v>
      </c>
      <c r="B3" s="209">
        <f>SUM(C3:N3)</f>
        <v>200000</v>
      </c>
      <c r="C3" s="152">
        <f>SUM(C4:C29)</f>
        <v>0</v>
      </c>
      <c r="D3" s="152">
        <f t="shared" ref="D3:M3" si="0">SUM(D4:D29)</f>
        <v>0</v>
      </c>
      <c r="E3" s="152">
        <f t="shared" si="0"/>
        <v>0</v>
      </c>
      <c r="F3" s="152">
        <f t="shared" si="0"/>
        <v>0</v>
      </c>
      <c r="G3" s="152">
        <f t="shared" si="0"/>
        <v>0</v>
      </c>
      <c r="H3" s="152">
        <f t="shared" si="0"/>
        <v>0</v>
      </c>
      <c r="I3" s="152">
        <f t="shared" si="0"/>
        <v>0</v>
      </c>
      <c r="J3" s="152">
        <f t="shared" si="0"/>
        <v>0</v>
      </c>
      <c r="K3" s="152">
        <f t="shared" si="0"/>
        <v>0</v>
      </c>
      <c r="L3" s="152">
        <f t="shared" si="0"/>
        <v>0</v>
      </c>
      <c r="M3" s="152">
        <f t="shared" si="0"/>
        <v>0</v>
      </c>
      <c r="N3" s="152">
        <f>SUM(N7)</f>
        <v>200000</v>
      </c>
    </row>
    <row r="6" spans="1:14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</row>
    <row r="7" spans="1:14" ht="32">
      <c r="A7" s="386" t="s">
        <v>222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388">
        <v>200000</v>
      </c>
    </row>
  </sheetData>
  <mergeCells count="1">
    <mergeCell ref="F1:H1"/>
  </mergeCells>
  <hyperlinks>
    <hyperlink ref="A1" location="Бюджет" display="Бюджет" xr:uid="{00000000-0004-0000-3F00-000000000000}"/>
    <hyperlink ref="F1:H1" location="Бюджет!R1C1" display="2-0064" xr:uid="{00000000-0004-0000-3F00-000001000000}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N3"/>
  <sheetViews>
    <sheetView workbookViewId="0"/>
  </sheetViews>
  <sheetFormatPr baseColWidth="10" defaultColWidth="8.83203125" defaultRowHeight="15"/>
  <cols>
    <col min="1" max="1" width="44.33203125" customWidth="1"/>
    <col min="2" max="2" width="11.5" customWidth="1"/>
    <col min="5" max="5" width="9.83203125" bestFit="1" customWidth="1"/>
  </cols>
  <sheetData>
    <row r="1" spans="1:14" ht="16">
      <c r="A1" s="223" t="s">
        <v>206</v>
      </c>
      <c r="F1" s="698" t="s">
        <v>191</v>
      </c>
      <c r="G1" s="698"/>
      <c r="H1" s="698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48">
      <c r="A3" s="190" t="s">
        <v>289</v>
      </c>
      <c r="B3" s="209">
        <f>SUM(C3:N3)</f>
        <v>100000</v>
      </c>
      <c r="C3" s="152"/>
      <c r="D3" s="98"/>
      <c r="E3" s="98">
        <v>100000</v>
      </c>
      <c r="F3" s="98"/>
      <c r="G3" s="98"/>
      <c r="H3" s="98"/>
      <c r="I3" s="99"/>
      <c r="J3" s="98"/>
      <c r="K3" s="98"/>
      <c r="L3" s="99"/>
      <c r="M3" s="98"/>
      <c r="N3" s="98"/>
    </row>
  </sheetData>
  <mergeCells count="1">
    <mergeCell ref="F1:H1"/>
  </mergeCells>
  <hyperlinks>
    <hyperlink ref="A1" location="Бюджет" display="Бюджет" xr:uid="{00000000-0004-0000-4000-000000000000}"/>
    <hyperlink ref="F1:H1" location="Бюджет!R1C1" display="2-0064" xr:uid="{00000000-0004-0000-4000-000001000000}"/>
  </hyperlinks>
  <pageMargins left="0.7" right="0.7" top="0.75" bottom="0.75" header="0.3" footer="0.3"/>
  <pageSetup paperSize="9" orientation="portrait" horizontalDpi="0" verticalDpi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N11"/>
  <sheetViews>
    <sheetView workbookViewId="0">
      <selection activeCell="C4" sqref="C4:K4"/>
    </sheetView>
  </sheetViews>
  <sheetFormatPr baseColWidth="10" defaultColWidth="8.83203125" defaultRowHeight="15"/>
  <cols>
    <col min="1" max="1" width="57.5" customWidth="1"/>
    <col min="2" max="2" width="12" customWidth="1"/>
    <col min="3" max="3" width="9.83203125" bestFit="1" customWidth="1"/>
    <col min="4" max="4" width="15.1640625" customWidth="1"/>
    <col min="5" max="5" width="10" customWidth="1"/>
    <col min="6" max="6" width="9.83203125" bestFit="1" customWidth="1"/>
    <col min="8" max="8" width="11" customWidth="1"/>
    <col min="9" max="9" width="9.83203125" bestFit="1" customWidth="1"/>
    <col min="11" max="11" width="11.33203125" customWidth="1"/>
    <col min="12" max="12" width="9.83203125" bestFit="1" customWidth="1"/>
  </cols>
  <sheetData>
    <row r="1" spans="1:14" ht="16">
      <c r="A1" s="223" t="s">
        <v>206</v>
      </c>
      <c r="F1" s="698" t="s">
        <v>192</v>
      </c>
      <c r="G1" s="698"/>
      <c r="H1" s="698"/>
    </row>
    <row r="2" spans="1:14" s="10" customFormat="1" ht="14" thickBot="1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218" customFormat="1" ht="17" thickBot="1">
      <c r="A3" s="216" t="s">
        <v>113</v>
      </c>
      <c r="B3" s="209">
        <f>SUM(C3:N3)</f>
        <v>3186500</v>
      </c>
      <c r="C3" s="161">
        <f>SUM(C4:C11)</f>
        <v>650000</v>
      </c>
      <c r="D3" s="161">
        <f t="shared" ref="D3:N3" si="0">SUM(D4:D11)</f>
        <v>107000</v>
      </c>
      <c r="E3" s="161">
        <f t="shared" si="0"/>
        <v>697000</v>
      </c>
      <c r="F3" s="161">
        <f t="shared" si="0"/>
        <v>0</v>
      </c>
      <c r="G3" s="161">
        <f t="shared" si="0"/>
        <v>0</v>
      </c>
      <c r="H3" s="161">
        <f t="shared" si="0"/>
        <v>650000</v>
      </c>
      <c r="I3" s="161">
        <f t="shared" si="0"/>
        <v>0</v>
      </c>
      <c r="J3" s="161">
        <f t="shared" si="0"/>
        <v>0</v>
      </c>
      <c r="K3" s="161">
        <f t="shared" si="0"/>
        <v>650000</v>
      </c>
      <c r="L3" s="161">
        <f t="shared" si="0"/>
        <v>337500</v>
      </c>
      <c r="M3" s="161">
        <f t="shared" si="0"/>
        <v>95000</v>
      </c>
      <c r="N3" s="161">
        <f t="shared" si="0"/>
        <v>0</v>
      </c>
    </row>
    <row r="4" spans="1:14" s="440" customFormat="1" ht="16">
      <c r="A4" s="441" t="s">
        <v>304</v>
      </c>
      <c r="B4" s="329"/>
      <c r="C4" s="185">
        <v>650000</v>
      </c>
      <c r="D4" s="187"/>
      <c r="E4" s="185">
        <v>650000</v>
      </c>
      <c r="F4" s="185"/>
      <c r="G4" s="187"/>
      <c r="H4" s="185">
        <v>650000</v>
      </c>
      <c r="I4" s="185"/>
      <c r="J4" s="187"/>
      <c r="K4" s="185">
        <v>650000</v>
      </c>
      <c r="L4" s="439"/>
      <c r="M4" s="329"/>
      <c r="N4" s="329"/>
    </row>
    <row r="5" spans="1:14" ht="36" customHeight="1">
      <c r="A5" s="495" t="s">
        <v>652</v>
      </c>
      <c r="B5" s="496"/>
      <c r="C5" s="496"/>
      <c r="D5" s="497">
        <v>77000</v>
      </c>
      <c r="E5" s="496"/>
      <c r="F5" s="496"/>
      <c r="G5" s="496"/>
      <c r="H5" s="496"/>
      <c r="I5" s="496"/>
      <c r="J5" s="496"/>
      <c r="K5" s="496"/>
      <c r="L5" s="496"/>
      <c r="M5" s="496"/>
      <c r="N5" s="496"/>
    </row>
    <row r="6" spans="1:14" ht="29.25" customHeight="1">
      <c r="A6" s="495" t="s">
        <v>653</v>
      </c>
      <c r="B6" s="496"/>
      <c r="C6" s="496"/>
      <c r="D6" s="497"/>
      <c r="E6" s="496"/>
      <c r="F6" s="496"/>
      <c r="G6" s="496"/>
      <c r="H6" s="496"/>
      <c r="I6" s="496"/>
      <c r="J6" s="496"/>
      <c r="K6" s="496"/>
      <c r="L6" s="497">
        <v>180000</v>
      </c>
      <c r="M6" s="496"/>
      <c r="N6" s="496"/>
    </row>
    <row r="7" spans="1:14" ht="42.75" customHeight="1">
      <c r="A7" s="495" t="s">
        <v>687</v>
      </c>
      <c r="B7" s="496"/>
      <c r="C7" s="496"/>
      <c r="D7" s="497"/>
      <c r="E7" s="496"/>
      <c r="F7" s="496"/>
      <c r="G7" s="496"/>
      <c r="H7" s="496"/>
      <c r="I7" s="496"/>
      <c r="J7" s="496"/>
      <c r="K7" s="496"/>
      <c r="L7" s="497">
        <v>80000</v>
      </c>
      <c r="M7" s="496"/>
      <c r="N7" s="496"/>
    </row>
    <row r="8" spans="1:14">
      <c r="A8" s="485" t="s">
        <v>654</v>
      </c>
      <c r="B8" s="496"/>
      <c r="C8" s="496"/>
      <c r="D8" s="496"/>
      <c r="E8" s="496">
        <v>47000</v>
      </c>
      <c r="F8" s="496"/>
      <c r="G8" s="496"/>
      <c r="H8" s="496"/>
      <c r="I8" s="496"/>
      <c r="J8" s="496"/>
      <c r="K8" s="496"/>
      <c r="L8" s="496"/>
      <c r="M8" s="496"/>
      <c r="N8" s="496"/>
    </row>
    <row r="9" spans="1:14" ht="16">
      <c r="A9" s="498" t="s">
        <v>688</v>
      </c>
      <c r="B9" s="500"/>
      <c r="C9" s="500"/>
      <c r="D9" s="500"/>
      <c r="E9" s="500"/>
      <c r="F9" s="500"/>
      <c r="G9" s="500"/>
      <c r="H9" s="499"/>
      <c r="I9" s="500"/>
      <c r="J9" s="500"/>
      <c r="K9" s="500"/>
      <c r="L9" s="518">
        <v>77500</v>
      </c>
      <c r="M9" s="500"/>
      <c r="N9" s="500"/>
    </row>
    <row r="10" spans="1:14" ht="16">
      <c r="A10" s="489" t="s">
        <v>283</v>
      </c>
      <c r="B10" s="500"/>
      <c r="C10" s="500"/>
      <c r="D10" s="500"/>
      <c r="E10" s="500"/>
      <c r="F10" s="500"/>
      <c r="G10" s="500"/>
      <c r="H10" s="500"/>
      <c r="I10" s="500"/>
      <c r="J10" s="500"/>
      <c r="K10" s="500"/>
      <c r="L10" s="500"/>
      <c r="M10" s="499">
        <v>95000</v>
      </c>
      <c r="N10" s="500"/>
    </row>
    <row r="11" spans="1:14">
      <c r="A11" s="67" t="s">
        <v>655</v>
      </c>
      <c r="B11" s="67"/>
      <c r="C11" s="67"/>
      <c r="D11" s="67">
        <v>30000</v>
      </c>
      <c r="E11" s="67"/>
      <c r="F11" s="67"/>
      <c r="G11" s="67"/>
      <c r="H11" s="67"/>
      <c r="I11" s="67"/>
      <c r="J11" s="67"/>
      <c r="K11" s="67"/>
      <c r="L11" s="67"/>
      <c r="M11" s="67"/>
      <c r="N11" s="67"/>
    </row>
  </sheetData>
  <mergeCells count="1">
    <mergeCell ref="F1:H1"/>
  </mergeCells>
  <hyperlinks>
    <hyperlink ref="A1" location="Бюджет" display="Бюджет" xr:uid="{00000000-0004-0000-4100-000000000000}"/>
    <hyperlink ref="F1:H1" location="Бюджет!R1C1" display="2-0064" xr:uid="{00000000-0004-0000-4100-000001000000}"/>
  </hyperlinks>
  <pageMargins left="0.7" right="0.7" top="0.75" bottom="0.75" header="0.3" footer="0.3"/>
  <pageSetup paperSize="9" orientation="portrait" horizontalDpi="0" verticalDpi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N6"/>
  <sheetViews>
    <sheetView workbookViewId="0"/>
  </sheetViews>
  <sheetFormatPr baseColWidth="10" defaultColWidth="8.83203125" defaultRowHeight="15"/>
  <cols>
    <col min="1" max="1" width="27.6640625" customWidth="1"/>
    <col min="2" max="2" width="14" customWidth="1"/>
    <col min="3" max="4" width="10.1640625" bestFit="1" customWidth="1"/>
    <col min="5" max="5" width="12.83203125" customWidth="1"/>
    <col min="6" max="6" width="16" customWidth="1"/>
    <col min="7" max="7" width="11.6640625" bestFit="1" customWidth="1"/>
    <col min="8" max="8" width="15.33203125" customWidth="1"/>
    <col min="10" max="10" width="16.1640625" customWidth="1"/>
    <col min="11" max="11" width="12.1640625" customWidth="1"/>
    <col min="13" max="14" width="10.1640625" bestFit="1" customWidth="1"/>
  </cols>
  <sheetData>
    <row r="1" spans="1:14" ht="16">
      <c r="A1" s="223" t="s">
        <v>206</v>
      </c>
      <c r="F1" s="698" t="s">
        <v>193</v>
      </c>
      <c r="G1" s="698"/>
      <c r="H1" s="698"/>
    </row>
    <row r="2" spans="1:14" s="10" customFormat="1" ht="14" thickBot="1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0" customFormat="1" ht="16">
      <c r="A3" s="490" t="s">
        <v>689</v>
      </c>
      <c r="B3" s="524">
        <f>SUM(C3:N3)</f>
        <v>360000</v>
      </c>
      <c r="C3" s="438">
        <f>SUM(C4:C6)</f>
        <v>80000</v>
      </c>
      <c r="D3" s="438">
        <f t="shared" ref="D3:N3" si="0">SUM(D4:D6)</f>
        <v>0</v>
      </c>
      <c r="E3" s="438">
        <f t="shared" si="0"/>
        <v>100000</v>
      </c>
      <c r="F3" s="438">
        <f t="shared" si="0"/>
        <v>0</v>
      </c>
      <c r="G3" s="438">
        <f t="shared" si="0"/>
        <v>100000</v>
      </c>
      <c r="H3" s="438">
        <f t="shared" si="0"/>
        <v>0</v>
      </c>
      <c r="I3" s="438">
        <f t="shared" si="0"/>
        <v>0</v>
      </c>
      <c r="J3" s="438">
        <f t="shared" si="0"/>
        <v>0</v>
      </c>
      <c r="K3" s="438">
        <f t="shared" si="0"/>
        <v>0</v>
      </c>
      <c r="L3" s="438">
        <f t="shared" si="0"/>
        <v>0</v>
      </c>
      <c r="M3" s="438">
        <f t="shared" si="0"/>
        <v>0</v>
      </c>
      <c r="N3" s="438">
        <f t="shared" si="0"/>
        <v>80000</v>
      </c>
    </row>
    <row r="4" spans="1:14" s="42" customFormat="1" ht="32">
      <c r="A4" s="493" t="s">
        <v>651</v>
      </c>
      <c r="B4" s="491"/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</row>
    <row r="5" spans="1:14" s="42" customFormat="1" ht="32">
      <c r="A5" s="493" t="s">
        <v>725</v>
      </c>
      <c r="B5" s="491"/>
      <c r="C5" s="492">
        <v>80000</v>
      </c>
      <c r="D5" s="492"/>
      <c r="E5" s="492">
        <v>100000</v>
      </c>
      <c r="F5" s="492"/>
      <c r="G5" s="492">
        <v>100000</v>
      </c>
      <c r="H5" s="492"/>
      <c r="I5" s="492"/>
      <c r="J5" s="492"/>
      <c r="K5" s="492"/>
      <c r="L5" s="492"/>
      <c r="M5" s="492"/>
      <c r="N5" s="492">
        <v>80000</v>
      </c>
    </row>
    <row r="6" spans="1:14">
      <c r="A6" s="493"/>
      <c r="B6" s="67"/>
      <c r="C6" s="492"/>
      <c r="D6" s="492"/>
      <c r="E6" s="492"/>
      <c r="F6" s="67"/>
      <c r="G6" s="492"/>
      <c r="H6" s="67"/>
      <c r="I6" s="67"/>
      <c r="J6" s="67"/>
      <c r="K6" s="67"/>
      <c r="L6" s="67"/>
      <c r="M6" s="67"/>
      <c r="N6" s="492"/>
    </row>
  </sheetData>
  <mergeCells count="1">
    <mergeCell ref="F1:H1"/>
  </mergeCells>
  <hyperlinks>
    <hyperlink ref="A1" location="Бюджет" display="Бюджет" xr:uid="{00000000-0004-0000-4200-000000000000}"/>
    <hyperlink ref="F1:H1" location="Бюджет!R1C1" display="2-0064" xr:uid="{00000000-0004-0000-4200-000001000000}"/>
  </hyperlinks>
  <pageMargins left="0.7" right="0.7" top="0.75" bottom="0.75" header="0.3" footer="0.3"/>
  <pageSetup paperSize="9" orientation="portrait" horizontalDpi="0" verticalDpi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N5"/>
  <sheetViews>
    <sheetView workbookViewId="0">
      <selection activeCell="F1" sqref="F1:H1"/>
    </sheetView>
  </sheetViews>
  <sheetFormatPr baseColWidth="10" defaultColWidth="8.83203125" defaultRowHeight="15"/>
  <cols>
    <col min="1" max="1" width="53.83203125" customWidth="1"/>
    <col min="2" max="2" width="11.33203125" bestFit="1" customWidth="1"/>
    <col min="3" max="14" width="9.83203125" bestFit="1" customWidth="1"/>
  </cols>
  <sheetData>
    <row r="1" spans="1:14" ht="16">
      <c r="A1" s="223"/>
      <c r="F1" s="698" t="s">
        <v>194</v>
      </c>
      <c r="G1" s="698"/>
      <c r="H1" s="698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6">
      <c r="A3" s="328" t="s">
        <v>636</v>
      </c>
      <c r="B3" s="209">
        <f>SUM(C3:N3)</f>
        <v>0</v>
      </c>
      <c r="C3" s="434">
        <f t="shared" ref="C3:N3" si="0">SUM(C5:C5)</f>
        <v>0</v>
      </c>
      <c r="D3" s="434">
        <f t="shared" si="0"/>
        <v>0</v>
      </c>
      <c r="E3" s="434">
        <f t="shared" si="0"/>
        <v>0</v>
      </c>
      <c r="F3" s="434">
        <f t="shared" si="0"/>
        <v>0</v>
      </c>
      <c r="G3" s="434">
        <f t="shared" si="0"/>
        <v>0</v>
      </c>
      <c r="H3" s="434">
        <f t="shared" si="0"/>
        <v>0</v>
      </c>
      <c r="I3" s="434">
        <f t="shared" si="0"/>
        <v>0</v>
      </c>
      <c r="J3" s="434">
        <f t="shared" si="0"/>
        <v>0</v>
      </c>
      <c r="K3" s="434">
        <f t="shared" si="0"/>
        <v>0</v>
      </c>
      <c r="L3" s="434">
        <f t="shared" si="0"/>
        <v>0</v>
      </c>
      <c r="M3" s="434">
        <f t="shared" si="0"/>
        <v>0</v>
      </c>
      <c r="N3" s="434">
        <f t="shared" si="0"/>
        <v>0</v>
      </c>
    </row>
    <row r="4" spans="1:14" s="327" customFormat="1">
      <c r="A4" s="323"/>
      <c r="B4" s="325"/>
      <c r="C4" s="326"/>
      <c r="D4" s="326"/>
      <c r="E4" s="326"/>
      <c r="F4" s="326"/>
      <c r="G4" s="326"/>
      <c r="H4" s="326"/>
      <c r="I4" s="326"/>
      <c r="J4" s="326"/>
      <c r="K4" s="326"/>
      <c r="L4" s="326"/>
      <c r="M4" s="326"/>
      <c r="N4" s="326"/>
    </row>
    <row r="5" spans="1:14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</row>
  </sheetData>
  <mergeCells count="1">
    <mergeCell ref="F1:H1"/>
  </mergeCells>
  <hyperlinks>
    <hyperlink ref="F1:H1" location="Бюджет!R1C1" display="2-0064" xr:uid="{00000000-0004-0000-4300-000000000000}"/>
  </hyperlink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N7"/>
  <sheetViews>
    <sheetView workbookViewId="0">
      <selection activeCell="E5" sqref="E5:N5"/>
    </sheetView>
  </sheetViews>
  <sheetFormatPr baseColWidth="10" defaultColWidth="8.83203125" defaultRowHeight="15"/>
  <cols>
    <col min="1" max="1" width="26.1640625" customWidth="1"/>
    <col min="2" max="2" width="12.5" customWidth="1"/>
    <col min="9" max="9" width="10" customWidth="1"/>
    <col min="10" max="10" width="9.83203125" bestFit="1" customWidth="1"/>
  </cols>
  <sheetData>
    <row r="1" spans="1:14" ht="16">
      <c r="A1" s="223" t="s">
        <v>206</v>
      </c>
      <c r="F1" s="698" t="s">
        <v>195</v>
      </c>
      <c r="G1" s="698"/>
      <c r="H1" s="698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32">
      <c r="A3" s="461" t="s">
        <v>310</v>
      </c>
      <c r="B3" s="446">
        <f>SUM(C3:N3)</f>
        <v>0</v>
      </c>
      <c r="C3" s="450">
        <f t="shared" ref="C3:N3" si="0">SUM(C5)</f>
        <v>0</v>
      </c>
      <c r="D3" s="450">
        <f t="shared" si="0"/>
        <v>0</v>
      </c>
      <c r="E3" s="450">
        <f t="shared" si="0"/>
        <v>0</v>
      </c>
      <c r="F3" s="450">
        <f t="shared" si="0"/>
        <v>0</v>
      </c>
      <c r="G3" s="450">
        <f t="shared" si="0"/>
        <v>0</v>
      </c>
      <c r="H3" s="450">
        <f t="shared" si="0"/>
        <v>0</v>
      </c>
      <c r="I3" s="450">
        <f t="shared" si="0"/>
        <v>0</v>
      </c>
      <c r="J3" s="450">
        <f t="shared" si="0"/>
        <v>0</v>
      </c>
      <c r="K3" s="450">
        <f t="shared" si="0"/>
        <v>0</v>
      </c>
      <c r="L3" s="450">
        <f t="shared" si="0"/>
        <v>0</v>
      </c>
      <c r="M3" s="450">
        <f t="shared" si="0"/>
        <v>0</v>
      </c>
      <c r="N3" s="450">
        <f t="shared" si="0"/>
        <v>0</v>
      </c>
    </row>
    <row r="4" spans="1:14" s="191" customFormat="1">
      <c r="A4" s="447"/>
      <c r="B4" s="448"/>
      <c r="C4" s="449"/>
      <c r="D4" s="449"/>
      <c r="E4" s="449"/>
      <c r="F4" s="449"/>
      <c r="G4" s="324"/>
      <c r="H4" s="324"/>
      <c r="I4" s="324"/>
      <c r="J4" s="324"/>
      <c r="K4" s="324"/>
      <c r="L4" s="324"/>
      <c r="M4" s="324"/>
      <c r="N4" s="324"/>
    </row>
    <row r="5" spans="1:14" ht="32">
      <c r="A5" s="386" t="s">
        <v>309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</row>
    <row r="7" spans="1:14" ht="32">
      <c r="A7" s="465" t="s">
        <v>316</v>
      </c>
    </row>
  </sheetData>
  <mergeCells count="1">
    <mergeCell ref="F1:H1"/>
  </mergeCells>
  <hyperlinks>
    <hyperlink ref="A1" location="Бюджет" display="Бюджет" xr:uid="{00000000-0004-0000-4400-000000000000}"/>
    <hyperlink ref="F1:H1" location="Бюджет!R1C1" display="2-0064" xr:uid="{00000000-0004-0000-4400-000001000000}"/>
  </hyperlink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N3"/>
  <sheetViews>
    <sheetView workbookViewId="0"/>
  </sheetViews>
  <sheetFormatPr baseColWidth="10" defaultColWidth="8.83203125" defaultRowHeight="15"/>
  <cols>
    <col min="1" max="1" width="27.5" customWidth="1"/>
    <col min="2" max="2" width="12.33203125" customWidth="1"/>
    <col min="8" max="8" width="12" customWidth="1"/>
  </cols>
  <sheetData>
    <row r="1" spans="1:14" ht="16">
      <c r="A1" s="223" t="s">
        <v>206</v>
      </c>
      <c r="F1" s="698" t="s">
        <v>196</v>
      </c>
      <c r="G1" s="698"/>
      <c r="H1" s="698"/>
    </row>
    <row r="2" spans="1:14" s="10" customFormat="1" ht="14" thickBot="1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7" thickBot="1">
      <c r="A3" s="214" t="s">
        <v>137</v>
      </c>
      <c r="B3" s="209">
        <f>SUM(C3:N3)</f>
        <v>0</v>
      </c>
      <c r="C3" s="431"/>
      <c r="D3" s="431"/>
      <c r="E3" s="431"/>
      <c r="F3" s="431"/>
      <c r="G3" s="431"/>
      <c r="H3" s="98"/>
      <c r="I3" s="98"/>
      <c r="J3" s="98"/>
      <c r="K3" s="98"/>
      <c r="L3" s="98"/>
      <c r="M3" s="98"/>
      <c r="N3" s="98"/>
    </row>
  </sheetData>
  <mergeCells count="1">
    <mergeCell ref="F1:H1"/>
  </mergeCells>
  <hyperlinks>
    <hyperlink ref="A1" location="Бюджет" display="Бюджет" xr:uid="{00000000-0004-0000-4500-000000000000}"/>
    <hyperlink ref="F1:H1" location="Бюджет!R1C1" display="2-0064" xr:uid="{00000000-0004-0000-4500-000001000000}"/>
  </hyperlink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N8"/>
  <sheetViews>
    <sheetView workbookViewId="0"/>
  </sheetViews>
  <sheetFormatPr baseColWidth="10" defaultColWidth="8.83203125" defaultRowHeight="15"/>
  <cols>
    <col min="1" max="1" width="34" customWidth="1"/>
    <col min="2" max="2" width="11.1640625" customWidth="1"/>
    <col min="4" max="4" width="11.83203125" customWidth="1"/>
    <col min="5" max="5" width="10.5" customWidth="1"/>
    <col min="7" max="7" width="10.33203125" customWidth="1"/>
    <col min="8" max="8" width="10.5" customWidth="1"/>
    <col min="9" max="9" width="11.5" customWidth="1"/>
    <col min="10" max="10" width="12.1640625" customWidth="1"/>
    <col min="11" max="11" width="11.6640625" customWidth="1"/>
    <col min="13" max="13" width="8.83203125" customWidth="1"/>
  </cols>
  <sheetData>
    <row r="1" spans="1:14" ht="16">
      <c r="A1" s="223" t="s">
        <v>206</v>
      </c>
      <c r="F1" s="698" t="s">
        <v>197</v>
      </c>
      <c r="G1" s="698"/>
      <c r="H1" s="698"/>
    </row>
    <row r="2" spans="1:14" s="10" customFormat="1" ht="14" thickBot="1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33" thickBot="1">
      <c r="A3" s="214" t="s">
        <v>726</v>
      </c>
      <c r="B3" s="209">
        <f>SUM(C3:N8)</f>
        <v>820000</v>
      </c>
      <c r="C3" s="152">
        <f>SUM(C4:C8)</f>
        <v>30000</v>
      </c>
      <c r="D3" s="152">
        <f t="shared" ref="D3:N3" si="0">SUM(D4:D8)</f>
        <v>0</v>
      </c>
      <c r="E3" s="152">
        <f t="shared" si="0"/>
        <v>50000</v>
      </c>
      <c r="F3" s="152">
        <f t="shared" si="0"/>
        <v>30000</v>
      </c>
      <c r="G3" s="152">
        <f t="shared" si="0"/>
        <v>50000</v>
      </c>
      <c r="H3" s="152">
        <f t="shared" si="0"/>
        <v>0</v>
      </c>
      <c r="I3" s="152">
        <f t="shared" si="0"/>
        <v>150000</v>
      </c>
      <c r="J3" s="152">
        <f t="shared" si="0"/>
        <v>0</v>
      </c>
      <c r="K3" s="152">
        <f t="shared" si="0"/>
        <v>50000</v>
      </c>
      <c r="L3" s="152">
        <f t="shared" si="0"/>
        <v>30000</v>
      </c>
      <c r="M3" s="152">
        <f t="shared" si="0"/>
        <v>0</v>
      </c>
      <c r="N3" s="152">
        <f t="shared" si="0"/>
        <v>20000</v>
      </c>
    </row>
    <row r="4" spans="1:14" ht="32">
      <c r="A4" s="386" t="s">
        <v>303</v>
      </c>
      <c r="B4" s="67"/>
      <c r="C4" s="388">
        <v>30000</v>
      </c>
      <c r="D4" s="67"/>
      <c r="E4" s="67"/>
      <c r="F4" s="67">
        <v>30000</v>
      </c>
      <c r="G4" s="67"/>
      <c r="H4" s="67"/>
      <c r="I4" s="67">
        <v>30000</v>
      </c>
      <c r="J4" s="67"/>
      <c r="K4" s="67"/>
      <c r="L4" s="67">
        <v>30000</v>
      </c>
      <c r="M4" s="67"/>
      <c r="N4" s="67"/>
    </row>
    <row r="5" spans="1:14" ht="16">
      <c r="A5" s="386" t="s">
        <v>290</v>
      </c>
      <c r="B5" s="67"/>
      <c r="C5" s="67"/>
      <c r="D5" s="67"/>
      <c r="E5" s="67"/>
      <c r="F5" s="67"/>
      <c r="G5" s="67"/>
      <c r="H5" s="389"/>
      <c r="I5" s="67">
        <v>50000</v>
      </c>
      <c r="J5" s="67"/>
      <c r="K5" s="67"/>
      <c r="L5" s="67"/>
      <c r="M5" s="67"/>
      <c r="N5" s="67"/>
    </row>
    <row r="6" spans="1:14" ht="32">
      <c r="A6" s="386" t="s">
        <v>291</v>
      </c>
      <c r="B6" s="67"/>
      <c r="C6" s="67"/>
      <c r="D6" s="67"/>
      <c r="E6" s="67"/>
      <c r="F6" s="67"/>
      <c r="G6" s="67"/>
      <c r="H6" s="67"/>
      <c r="I6" s="389">
        <v>20000</v>
      </c>
      <c r="J6" s="67"/>
      <c r="K6" s="67"/>
      <c r="L6" s="67"/>
      <c r="M6" s="67"/>
      <c r="N6" s="67">
        <v>20000</v>
      </c>
    </row>
    <row r="7" spans="1:14" ht="16">
      <c r="A7" s="386" t="s">
        <v>727</v>
      </c>
      <c r="B7" s="67"/>
      <c r="C7" s="67"/>
      <c r="D7" s="67"/>
      <c r="E7" s="67"/>
      <c r="F7" s="67"/>
      <c r="G7" s="67"/>
      <c r="H7" s="67"/>
      <c r="I7" s="389"/>
      <c r="J7" s="67"/>
      <c r="K7" s="67"/>
      <c r="L7" s="67"/>
      <c r="M7" s="67"/>
      <c r="N7" s="67"/>
    </row>
    <row r="8" spans="1:14" ht="44.25" customHeight="1">
      <c r="A8" s="386" t="s">
        <v>728</v>
      </c>
      <c r="B8" s="67"/>
      <c r="C8" s="67"/>
      <c r="D8" s="67"/>
      <c r="E8" s="67">
        <v>50000</v>
      </c>
      <c r="F8" s="67"/>
      <c r="G8" s="67">
        <v>50000</v>
      </c>
      <c r="H8" s="67"/>
      <c r="I8" s="67">
        <v>50000</v>
      </c>
      <c r="J8" s="67"/>
      <c r="K8" s="67">
        <v>50000</v>
      </c>
      <c r="L8" s="67"/>
      <c r="M8" s="67"/>
      <c r="N8" s="67"/>
    </row>
  </sheetData>
  <mergeCells count="1">
    <mergeCell ref="F1:H1"/>
  </mergeCells>
  <hyperlinks>
    <hyperlink ref="A1" location="Бюджет" display="Бюджет" xr:uid="{00000000-0004-0000-4600-000000000000}"/>
    <hyperlink ref="F1:H1" location="Бюджет!R1C1" display="2-0064" xr:uid="{00000000-0004-0000-4600-000001000000}"/>
  </hyperlinks>
  <pageMargins left="0.7" right="0.7" top="0.75" bottom="0.75" header="0.3" footer="0.3"/>
  <pageSetup paperSize="9" orientation="portrait" horizontalDpi="0" verticalDpi="0"/>
  <legacy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N3"/>
  <sheetViews>
    <sheetView workbookViewId="0"/>
  </sheetViews>
  <sheetFormatPr baseColWidth="10" defaultColWidth="8.83203125" defaultRowHeight="15"/>
  <cols>
    <col min="1" max="1" width="18.1640625" customWidth="1"/>
    <col min="2" max="2" width="11.6640625" customWidth="1"/>
  </cols>
  <sheetData>
    <row r="1" spans="1:14" ht="16">
      <c r="A1" s="223" t="s">
        <v>206</v>
      </c>
      <c r="F1" s="698" t="s">
        <v>198</v>
      </c>
      <c r="G1" s="698"/>
      <c r="H1" s="698"/>
    </row>
    <row r="2" spans="1:14" s="10" customFormat="1" ht="14" thickBot="1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7" thickBot="1">
      <c r="A3" s="214" t="s">
        <v>311</v>
      </c>
      <c r="B3" s="209">
        <f>SUM(C3:N3)</f>
        <v>100000</v>
      </c>
      <c r="C3" s="431">
        <v>25000</v>
      </c>
      <c r="D3" s="417"/>
      <c r="E3" s="417"/>
      <c r="F3" s="417">
        <v>25000</v>
      </c>
      <c r="G3" s="417"/>
      <c r="H3" s="417"/>
      <c r="I3" s="390">
        <v>25000</v>
      </c>
      <c r="J3" s="417"/>
      <c r="K3" s="417"/>
      <c r="L3" s="390">
        <v>25000</v>
      </c>
      <c r="M3" s="417"/>
      <c r="N3" s="417"/>
    </row>
  </sheetData>
  <mergeCells count="1">
    <mergeCell ref="F1:H1"/>
  </mergeCells>
  <hyperlinks>
    <hyperlink ref="A1" location="Бюджет" display="Бюджет" xr:uid="{00000000-0004-0000-4700-000000000000}"/>
    <hyperlink ref="F1:H1" location="Бюджет!R1C1" display="2-0064" xr:uid="{00000000-0004-0000-4700-000001000000}"/>
  </hyperlinks>
  <pageMargins left="0.7" right="0.7" top="0.75" bottom="0.75" header="0.3" footer="0.3"/>
  <pageSetup paperSize="9" orientation="portrait" horizontalDpi="0" verticalDpi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N3"/>
  <sheetViews>
    <sheetView workbookViewId="0"/>
  </sheetViews>
  <sheetFormatPr baseColWidth="10" defaultColWidth="8.83203125" defaultRowHeight="15"/>
  <cols>
    <col min="1" max="1" width="40.6640625" customWidth="1"/>
    <col min="2" max="2" width="13.6640625" customWidth="1"/>
  </cols>
  <sheetData>
    <row r="1" spans="1:14" ht="16">
      <c r="A1" s="223" t="s">
        <v>206</v>
      </c>
      <c r="F1" s="698" t="s">
        <v>199</v>
      </c>
      <c r="G1" s="698"/>
      <c r="H1" s="698"/>
    </row>
    <row r="2" spans="1:14" s="10" customFormat="1" ht="14" thickBot="1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7" thickBot="1">
      <c r="A3" s="214" t="s">
        <v>729</v>
      </c>
      <c r="B3" s="209">
        <f>SUM(C3:N3)</f>
        <v>300000</v>
      </c>
      <c r="C3" s="152">
        <v>25000</v>
      </c>
      <c r="D3" s="152">
        <v>25000</v>
      </c>
      <c r="E3" s="152">
        <v>25000</v>
      </c>
      <c r="F3" s="152">
        <v>25000</v>
      </c>
      <c r="G3" s="152">
        <v>25000</v>
      </c>
      <c r="H3" s="152">
        <v>25000</v>
      </c>
      <c r="I3" s="152">
        <v>25000</v>
      </c>
      <c r="J3" s="152">
        <v>25000</v>
      </c>
      <c r="K3" s="152">
        <v>25000</v>
      </c>
      <c r="L3" s="152">
        <v>25000</v>
      </c>
      <c r="M3" s="152">
        <v>25000</v>
      </c>
      <c r="N3" s="152">
        <v>25000</v>
      </c>
    </row>
  </sheetData>
  <mergeCells count="1">
    <mergeCell ref="F1:H1"/>
  </mergeCells>
  <hyperlinks>
    <hyperlink ref="A1" location="Бюджет" display="Бюджет" xr:uid="{00000000-0004-0000-4800-000000000000}"/>
    <hyperlink ref="F1:H1" location="Бюджет!R1C1" display="2-0064" xr:uid="{00000000-0004-0000-4800-000001000000}"/>
  </hyperlinks>
  <pageMargins left="0.7" right="0.7" top="0.75" bottom="0.75" header="0.3" footer="0.3"/>
  <pageSetup paperSize="9" orientation="portrait" horizontalDpi="0" verticalDpi="0"/>
  <legacy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N5"/>
  <sheetViews>
    <sheetView workbookViewId="0"/>
  </sheetViews>
  <sheetFormatPr baseColWidth="10" defaultColWidth="8.83203125" defaultRowHeight="15"/>
  <cols>
    <col min="1" max="1" width="30.33203125" customWidth="1"/>
    <col min="2" max="2" width="12.5" customWidth="1"/>
    <col min="3" max="3" width="10.1640625" bestFit="1" customWidth="1"/>
    <col min="10" max="10" width="10.1640625" bestFit="1" customWidth="1"/>
  </cols>
  <sheetData>
    <row r="1" spans="1:14" ht="16">
      <c r="A1" s="223" t="s">
        <v>206</v>
      </c>
      <c r="F1" s="698" t="s">
        <v>200</v>
      </c>
      <c r="G1" s="698"/>
      <c r="H1" s="698"/>
    </row>
    <row r="2" spans="1:14" s="10" customFormat="1" ht="14" thickBot="1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48">
      <c r="A3" s="436" t="s">
        <v>305</v>
      </c>
      <c r="B3" s="437">
        <f>SUM(C3:N3)</f>
        <v>210000</v>
      </c>
      <c r="C3" s="438">
        <f>SUM(C4:C5)</f>
        <v>30000</v>
      </c>
      <c r="D3" s="438">
        <f t="shared" ref="D3:N3" si="0">SUM(D4:D5)</f>
        <v>15000</v>
      </c>
      <c r="E3" s="438">
        <f t="shared" si="0"/>
        <v>15000</v>
      </c>
      <c r="F3" s="438">
        <f t="shared" si="0"/>
        <v>0</v>
      </c>
      <c r="G3" s="438">
        <f t="shared" si="0"/>
        <v>30000</v>
      </c>
      <c r="H3" s="438">
        <f t="shared" si="0"/>
        <v>0</v>
      </c>
      <c r="I3" s="438">
        <f t="shared" si="0"/>
        <v>30000</v>
      </c>
      <c r="J3" s="438">
        <f>SUM(J4:J6)</f>
        <v>15000</v>
      </c>
      <c r="K3" s="438">
        <f t="shared" si="0"/>
        <v>15000</v>
      </c>
      <c r="L3" s="438">
        <f t="shared" si="0"/>
        <v>15000</v>
      </c>
      <c r="M3" s="438">
        <f t="shared" si="0"/>
        <v>30000</v>
      </c>
      <c r="N3" s="438">
        <f t="shared" si="0"/>
        <v>15000</v>
      </c>
    </row>
    <row r="4" spans="1:14">
      <c r="A4" s="67" t="s">
        <v>306</v>
      </c>
      <c r="B4" s="67"/>
      <c r="C4" s="486">
        <v>15000</v>
      </c>
      <c r="D4" s="486">
        <v>15000</v>
      </c>
      <c r="E4" s="486"/>
      <c r="F4" s="486"/>
      <c r="G4" s="486">
        <v>15000</v>
      </c>
      <c r="H4" s="486"/>
      <c r="I4" s="486">
        <v>15000</v>
      </c>
      <c r="J4" s="486">
        <v>15000</v>
      </c>
      <c r="K4" s="486"/>
      <c r="L4" s="486">
        <v>15000</v>
      </c>
      <c r="M4" s="486">
        <v>15000</v>
      </c>
      <c r="N4" s="486">
        <v>15000</v>
      </c>
    </row>
    <row r="5" spans="1:14">
      <c r="A5" s="67" t="s">
        <v>649</v>
      </c>
      <c r="B5" s="67"/>
      <c r="C5" s="486">
        <v>15000</v>
      </c>
      <c r="D5" s="486"/>
      <c r="E5" s="486">
        <v>15000</v>
      </c>
      <c r="F5" s="486"/>
      <c r="G5" s="486">
        <v>15000</v>
      </c>
      <c r="H5" s="486"/>
      <c r="I5" s="486">
        <v>15000</v>
      </c>
      <c r="J5" s="486"/>
      <c r="K5" s="486">
        <v>15000</v>
      </c>
      <c r="L5" s="486"/>
      <c r="M5" s="486">
        <v>15000</v>
      </c>
      <c r="N5" s="486"/>
    </row>
  </sheetData>
  <mergeCells count="1">
    <mergeCell ref="F1:H1"/>
  </mergeCells>
  <hyperlinks>
    <hyperlink ref="F1:H1" location="Бюджет!R1C1" display="2-0064" xr:uid="{00000000-0004-0000-4900-000000000000}"/>
    <hyperlink ref="A1" location="Бюджет" display="Бюджет" xr:uid="{00000000-0004-0000-4900-000001000000}"/>
  </hyperlinks>
  <pageMargins left="0.7" right="0.7" top="0.75" bottom="0.75" header="0.3" footer="0.3"/>
  <pageSetup paperSize="9" orientation="portrait" horizontalDpi="0" verticalDpi="0"/>
  <legacy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N3"/>
  <sheetViews>
    <sheetView workbookViewId="0"/>
  </sheetViews>
  <sheetFormatPr baseColWidth="10" defaultColWidth="8.83203125" defaultRowHeight="15"/>
  <cols>
    <col min="1" max="1" width="36" customWidth="1"/>
    <col min="2" max="2" width="13.1640625" customWidth="1"/>
    <col min="3" max="3" width="11.6640625" bestFit="1" customWidth="1"/>
    <col min="4" max="14" width="10.1640625" bestFit="1" customWidth="1"/>
  </cols>
  <sheetData>
    <row r="1" spans="1:14">
      <c r="A1" s="223" t="s">
        <v>206</v>
      </c>
      <c r="F1" s="689" t="s">
        <v>234</v>
      </c>
      <c r="G1" s="689"/>
      <c r="H1" s="689"/>
    </row>
    <row r="2" spans="1:14" ht="16" thickBot="1">
      <c r="A2" s="10"/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ht="50.25" customHeight="1" thickBot="1">
      <c r="A3" s="214" t="s">
        <v>235</v>
      </c>
      <c r="B3" s="209">
        <f>SUM(C3:N3)</f>
        <v>600000</v>
      </c>
      <c r="C3" s="152">
        <v>50000</v>
      </c>
      <c r="D3" s="152">
        <v>50000</v>
      </c>
      <c r="E3" s="152">
        <v>50000</v>
      </c>
      <c r="F3" s="152">
        <v>50000</v>
      </c>
      <c r="G3" s="152">
        <v>50000</v>
      </c>
      <c r="H3" s="152">
        <v>50000</v>
      </c>
      <c r="I3" s="152">
        <v>50000</v>
      </c>
      <c r="J3" s="152">
        <v>50000</v>
      </c>
      <c r="K3" s="152">
        <v>50000</v>
      </c>
      <c r="L3" s="152">
        <v>50000</v>
      </c>
      <c r="M3" s="152">
        <v>50000</v>
      </c>
      <c r="N3" s="152">
        <v>50000</v>
      </c>
    </row>
  </sheetData>
  <mergeCells count="1">
    <mergeCell ref="F1:H1"/>
  </mergeCells>
  <hyperlinks>
    <hyperlink ref="F1:H1" location="Бюджет!R1C1" display="2-0071" xr:uid="{00000000-0004-0000-4A00-000000000000}"/>
    <hyperlink ref="A1" location="Бюджет" display="Бюджет" xr:uid="{00000000-0004-0000-4A00-000001000000}"/>
  </hyperlinks>
  <pageMargins left="0.7" right="0.7" top="0.75" bottom="0.75" header="0.3" footer="0.3"/>
  <pageSetup paperSize="9" orientation="portrait" horizontalDpi="0" verticalDpi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76</vt:i4>
      </vt:variant>
      <vt:variant>
        <vt:lpstr>Именованные диапазоны</vt:lpstr>
      </vt:variant>
      <vt:variant>
        <vt:i4>13</vt:i4>
      </vt:variant>
    </vt:vector>
  </HeadingPairs>
  <TitlesOfParts>
    <vt:vector size="89" baseType="lpstr">
      <vt:lpstr>Бюджет</vt:lpstr>
      <vt:lpstr>Исполнение бюджета</vt:lpstr>
      <vt:lpstr>1-000</vt:lpstr>
      <vt:lpstr>1-001</vt:lpstr>
      <vt:lpstr>1-002</vt:lpstr>
      <vt:lpstr>1-0020</vt:lpstr>
      <vt:lpstr>1-0021</vt:lpstr>
      <vt:lpstr>1-003</vt:lpstr>
      <vt:lpstr>1-005</vt:lpstr>
      <vt:lpstr>1-004</vt:lpstr>
      <vt:lpstr>1-006</vt:lpstr>
      <vt:lpstr>1-007</vt:lpstr>
      <vt:lpstr>1-008</vt:lpstr>
      <vt:lpstr>2-001</vt:lpstr>
      <vt:lpstr>2-0011</vt:lpstr>
      <vt:lpstr>2-0012</vt:lpstr>
      <vt:lpstr>2-0013</vt:lpstr>
      <vt:lpstr>2-0014</vt:lpstr>
      <vt:lpstr>2-0015</vt:lpstr>
      <vt:lpstr>2-0016</vt:lpstr>
      <vt:lpstr>2-0017</vt:lpstr>
      <vt:lpstr>2-0018</vt:lpstr>
      <vt:lpstr>2-0019</vt:lpstr>
      <vt:lpstr>2-0020</vt:lpstr>
      <vt:lpstr>2-0021</vt:lpstr>
      <vt:lpstr>2-0022</vt:lpstr>
      <vt:lpstr>2-0023</vt:lpstr>
      <vt:lpstr>2-0024</vt:lpstr>
      <vt:lpstr>2-0025</vt:lpstr>
      <vt:lpstr>2-0026</vt:lpstr>
      <vt:lpstr>2-0027</vt:lpstr>
      <vt:lpstr>2-0028</vt:lpstr>
      <vt:lpstr>2-0029</vt:lpstr>
      <vt:lpstr>2-0030</vt:lpstr>
      <vt:lpstr>2-0031</vt:lpstr>
      <vt:lpstr>2-0032</vt:lpstr>
      <vt:lpstr>2-0033</vt:lpstr>
      <vt:lpstr>2-0034</vt:lpstr>
      <vt:lpstr>2-0035</vt:lpstr>
      <vt:lpstr>2-0036</vt:lpstr>
      <vt:lpstr>2-0037</vt:lpstr>
      <vt:lpstr>2-0038</vt:lpstr>
      <vt:lpstr>2-0039</vt:lpstr>
      <vt:lpstr>2-0040</vt:lpstr>
      <vt:lpstr>2-0041</vt:lpstr>
      <vt:lpstr>2-0042</vt:lpstr>
      <vt:lpstr>2-0043</vt:lpstr>
      <vt:lpstr>2-0044</vt:lpstr>
      <vt:lpstr>2-0045</vt:lpstr>
      <vt:lpstr>2-0046</vt:lpstr>
      <vt:lpstr>2-0047</vt:lpstr>
      <vt:lpstr>2-0048</vt:lpstr>
      <vt:lpstr>2-0049</vt:lpstr>
      <vt:lpstr>2-0050</vt:lpstr>
      <vt:lpstr>2-0051</vt:lpstr>
      <vt:lpstr>2-0052</vt:lpstr>
      <vt:lpstr>2-0053</vt:lpstr>
      <vt:lpstr>2-0054</vt:lpstr>
      <vt:lpstr>2-0055</vt:lpstr>
      <vt:lpstr>2-0056</vt:lpstr>
      <vt:lpstr>2-0057</vt:lpstr>
      <vt:lpstr>2-0058</vt:lpstr>
      <vt:lpstr>2-0059</vt:lpstr>
      <vt:lpstr>2-0060</vt:lpstr>
      <vt:lpstr>2-0061</vt:lpstr>
      <vt:lpstr>2-0062</vt:lpstr>
      <vt:lpstr>2-0063</vt:lpstr>
      <vt:lpstr>2-0064</vt:lpstr>
      <vt:lpstr>2-0065</vt:lpstr>
      <vt:lpstr>2-0066</vt:lpstr>
      <vt:lpstr>2-0067</vt:lpstr>
      <vt:lpstr>2-0068</vt:lpstr>
      <vt:lpstr>2-0069</vt:lpstr>
      <vt:lpstr>2-0070</vt:lpstr>
      <vt:lpstr>2-0071</vt:lpstr>
      <vt:lpstr>Лист1</vt:lpstr>
      <vt:lpstr>'Исполнение бюджета'!Бюджет</vt:lpstr>
      <vt:lpstr>Бюджет</vt:lpstr>
      <vt:lpstr>'1-000'!Область_печати</vt:lpstr>
      <vt:lpstr>'1-001'!Область_печати</vt:lpstr>
      <vt:lpstr>'1-002'!Область_печати</vt:lpstr>
      <vt:lpstr>'1-003'!Область_печати</vt:lpstr>
      <vt:lpstr>'1-004'!Область_печати</vt:lpstr>
      <vt:lpstr>'1-005'!Область_печати</vt:lpstr>
      <vt:lpstr>'1-006'!Область_печати</vt:lpstr>
      <vt:lpstr>'1-007'!Область_печати</vt:lpstr>
      <vt:lpstr>'1-008'!Область_печати</vt:lpstr>
      <vt:lpstr>Бюджет!Область_печати</vt:lpstr>
      <vt:lpstr>'Исполнение бюджета'!Область_печати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Куликова</dc:creator>
  <cp:lastModifiedBy>K_I_A</cp:lastModifiedBy>
  <cp:lastPrinted>2024-12-11T10:26:35Z</cp:lastPrinted>
  <dcterms:created xsi:type="dcterms:W3CDTF">2017-01-12T12:16:51Z</dcterms:created>
  <dcterms:modified xsi:type="dcterms:W3CDTF">2024-12-11T10:27:27Z</dcterms:modified>
</cp:coreProperties>
</file>